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backupFile="1" codeName="ThisWorkbook"/>
  <mc:AlternateContent xmlns:mc="http://schemas.openxmlformats.org/markup-compatibility/2006">
    <mc:Choice Requires="x15">
      <x15ac:absPath xmlns:x15ac="http://schemas.microsoft.com/office/spreadsheetml/2010/11/ac" url="C:\TK\AG\ISO, analyza, vyrocne spravy\2023\"/>
    </mc:Choice>
  </mc:AlternateContent>
  <xr:revisionPtr revIDLastSave="0" documentId="13_ncr:1_{47397792-541B-420D-B0D3-A5A0759C9887}" xr6:coauthVersionLast="47" xr6:coauthVersionMax="47" xr10:uidLastSave="{00000000-0000-0000-0000-000000000000}"/>
  <bookViews>
    <workbookView xWindow="-30360" yWindow="4830" windowWidth="28800" windowHeight="15435" tabRatio="702" xr2:uid="{00000000-000D-0000-FFFF-FFFF00000000}"/>
  </bookViews>
  <sheets>
    <sheet name="Vykazy HELIOS" sheetId="29" r:id="rId1"/>
    <sheet name="Výkazy" sheetId="3" r:id="rId2"/>
    <sheet name="Trendy" sheetId="21" r:id="rId3"/>
    <sheet name="Ziskovost a náklady" sheetId="22" r:id="rId4"/>
    <sheet name="Rentabilita" sheetId="24" r:id="rId5"/>
    <sheet name="Likvidita" sheetId="23" r:id="rId6"/>
    <sheet name="Doplňkové ukazatele" sheetId="25" r:id="rId7"/>
    <sheet name="Cash flow" sheetId="28" r:id="rId8"/>
    <sheet name="Indexy" sheetId="26" r:id="rId9"/>
    <sheet name="List1" sheetId="4" r:id="rId10"/>
  </sheets>
  <definedNames>
    <definedName name="_Regression_Int" localSheetId="7" hidden="1">1</definedName>
    <definedName name="_Regression_Int" localSheetId="6" hidden="1">1</definedName>
    <definedName name="_Regression_Int" localSheetId="8" hidden="1">1</definedName>
    <definedName name="_Regression_Int" localSheetId="5" hidden="1">1</definedName>
    <definedName name="_Regression_Int" localSheetId="4" hidden="1">1</definedName>
    <definedName name="_Regression_Int" localSheetId="2" hidden="1">1</definedName>
    <definedName name="_Regression_Int" localSheetId="1" hidden="1">1</definedName>
    <definedName name="_Regression_Int" localSheetId="3" hidden="1">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01" i="29" l="1"/>
  <c r="Z51" i="3"/>
  <c r="X58" i="29" a="1"/>
  <c r="X58" i="29" s="1"/>
  <c r="X59" i="29" a="1"/>
  <c r="X59" i="29"/>
  <c r="X64" i="29" a="1"/>
  <c r="X64" i="29" s="1"/>
  <c r="X65" i="29" a="1"/>
  <c r="X65" i="29"/>
  <c r="U41" i="26"/>
  <c r="U32" i="26"/>
  <c r="U22" i="26"/>
  <c r="U13" i="26"/>
  <c r="U3" i="26"/>
  <c r="S33" i="28"/>
  <c r="S11" i="28"/>
  <c r="S2" i="28"/>
  <c r="T60" i="25"/>
  <c r="T39" i="25"/>
  <c r="T16" i="25"/>
  <c r="T13" i="25"/>
  <c r="T2" i="25"/>
  <c r="T73" i="23"/>
  <c r="T70" i="23"/>
  <c r="T63" i="23"/>
  <c r="T31" i="23"/>
  <c r="T12" i="23"/>
  <c r="T2" i="23"/>
  <c r="T31" i="24"/>
  <c r="T7" i="24"/>
  <c r="T2" i="24"/>
  <c r="T87" i="22"/>
  <c r="T81" i="22" s="1"/>
  <c r="T79" i="22"/>
  <c r="T48" i="22"/>
  <c r="T47" i="22"/>
  <c r="T41" i="22"/>
  <c r="T16" i="22"/>
  <c r="T4" i="22"/>
  <c r="T17" i="22" s="1"/>
  <c r="T3" i="22"/>
  <c r="T45" i="22" s="1"/>
  <c r="T2" i="22"/>
  <c r="U68" i="21"/>
  <c r="U48" i="21"/>
  <c r="U20" i="21"/>
  <c r="U2" i="21"/>
  <c r="Z233" i="3"/>
  <c r="Z231" i="3"/>
  <c r="Z225" i="3"/>
  <c r="Z220" i="3"/>
  <c r="Z215" i="3"/>
  <c r="Z212" i="3"/>
  <c r="Z205" i="3"/>
  <c r="Z197" i="3"/>
  <c r="Z195" i="3" s="1"/>
  <c r="Z196" i="3"/>
  <c r="Z194" i="3"/>
  <c r="Z193" i="3"/>
  <c r="T8" i="23" s="1"/>
  <c r="Z192" i="3"/>
  <c r="Z190" i="3"/>
  <c r="Z189" i="3"/>
  <c r="Z188" i="3"/>
  <c r="Z187" i="3"/>
  <c r="Z186" i="3"/>
  <c r="Z185" i="3"/>
  <c r="T72" i="23" s="1"/>
  <c r="Z184" i="3"/>
  <c r="T71" i="23" s="1"/>
  <c r="Z183" i="3"/>
  <c r="Z182" i="3"/>
  <c r="Z181" i="3"/>
  <c r="Z179" i="3" s="1"/>
  <c r="Z180" i="3"/>
  <c r="Z178" i="3"/>
  <c r="Z177" i="3"/>
  <c r="T12" i="22" s="1"/>
  <c r="Z176" i="3"/>
  <c r="Z175" i="3"/>
  <c r="Z174" i="3"/>
  <c r="Z173" i="3"/>
  <c r="Z172" i="3"/>
  <c r="Z171" i="3"/>
  <c r="Z170" i="3"/>
  <c r="Z169" i="3"/>
  <c r="Z167" i="3"/>
  <c r="Z166" i="3"/>
  <c r="Z165" i="3"/>
  <c r="Z164" i="3"/>
  <c r="Z163" i="3" s="1"/>
  <c r="Z160" i="3"/>
  <c r="Z159" i="3"/>
  <c r="Z158" i="3" s="1"/>
  <c r="Z157" i="3"/>
  <c r="Z155" i="3" s="1"/>
  <c r="Z156" i="3"/>
  <c r="Z154" i="3"/>
  <c r="Z153" i="3"/>
  <c r="Z152" i="3"/>
  <c r="Z151" i="3"/>
  <c r="Z149" i="3"/>
  <c r="Z148" i="3"/>
  <c r="Z147" i="3"/>
  <c r="Z140" i="3"/>
  <c r="Z139" i="3"/>
  <c r="Z138" i="3"/>
  <c r="Z137" i="3" s="1"/>
  <c r="Z136" i="3"/>
  <c r="Z135" i="3"/>
  <c r="Z134" i="3"/>
  <c r="T69" i="23" s="1"/>
  <c r="Z133" i="3"/>
  <c r="Z131" i="3"/>
  <c r="Z130" i="3"/>
  <c r="Z129" i="3"/>
  <c r="T68" i="23" s="1"/>
  <c r="Z128" i="3"/>
  <c r="Z127" i="3"/>
  <c r="Z126" i="3"/>
  <c r="Z125" i="3"/>
  <c r="Z122" i="3" s="1"/>
  <c r="U13" i="21" s="1"/>
  <c r="Z124" i="3"/>
  <c r="Z123" i="3"/>
  <c r="Z121" i="3"/>
  <c r="Z120" i="3"/>
  <c r="Z119" i="3"/>
  <c r="Z118" i="3"/>
  <c r="Z117" i="3"/>
  <c r="Z116" i="3"/>
  <c r="Z113" i="3" s="1"/>
  <c r="Z115" i="3"/>
  <c r="Z114" i="3"/>
  <c r="Z112" i="3"/>
  <c r="Z111" i="3"/>
  <c r="T67" i="23" s="1"/>
  <c r="Z110" i="3"/>
  <c r="Z109" i="3"/>
  <c r="Z108" i="3"/>
  <c r="T65" i="23" s="1"/>
  <c r="Z107" i="3"/>
  <c r="T64" i="23" s="1"/>
  <c r="Z104" i="3"/>
  <c r="Z103" i="3"/>
  <c r="Z102" i="3"/>
  <c r="Z101" i="3"/>
  <c r="Z100" i="3"/>
  <c r="Z99" i="3"/>
  <c r="Z98" i="3"/>
  <c r="Z97" i="3" s="1"/>
  <c r="Z96" i="3"/>
  <c r="Z95" i="3"/>
  <c r="Z94" i="3"/>
  <c r="Z93" i="3"/>
  <c r="Z92" i="3"/>
  <c r="Z91" i="3"/>
  <c r="Z90" i="3"/>
  <c r="Z89" i="3"/>
  <c r="Z88" i="3"/>
  <c r="Z86" i="3"/>
  <c r="Z85" i="3"/>
  <c r="Z84" i="3"/>
  <c r="Z83" i="3"/>
  <c r="Z82" i="3"/>
  <c r="Z81" i="3"/>
  <c r="Z78" i="3" s="1"/>
  <c r="Z80" i="3"/>
  <c r="Z79" i="3"/>
  <c r="Z76" i="3"/>
  <c r="Z62" i="3"/>
  <c r="Z60" i="3"/>
  <c r="Z59" i="3"/>
  <c r="Z58" i="3"/>
  <c r="Z57" i="3"/>
  <c r="T56" i="22" s="1"/>
  <c r="Z56" i="3"/>
  <c r="Z54" i="3"/>
  <c r="Z53" i="3"/>
  <c r="Z52" i="3"/>
  <c r="T57" i="22" s="1"/>
  <c r="Z50" i="3"/>
  <c r="Z49" i="3"/>
  <c r="Z48" i="3"/>
  <c r="Z47" i="3"/>
  <c r="Z46" i="3"/>
  <c r="Z45" i="3"/>
  <c r="Z44" i="3"/>
  <c r="Z43" i="3"/>
  <c r="Z42" i="3"/>
  <c r="Z41" i="3"/>
  <c r="Z40" i="3"/>
  <c r="Z39" i="3"/>
  <c r="Z38" i="3"/>
  <c r="Z37" i="3"/>
  <c r="Z36" i="3"/>
  <c r="Z35" i="3"/>
  <c r="Z34" i="3"/>
  <c r="Z32" i="3"/>
  <c r="Z31" i="3"/>
  <c r="Z30" i="3"/>
  <c r="Z29" i="3"/>
  <c r="Z28" i="3"/>
  <c r="Z27" i="3"/>
  <c r="Z26" i="3"/>
  <c r="Z24" i="3"/>
  <c r="Z23" i="3"/>
  <c r="Z22" i="3" s="1"/>
  <c r="Z21" i="3"/>
  <c r="T53" i="22" s="1"/>
  <c r="Z20" i="3"/>
  <c r="T52" i="22" s="1"/>
  <c r="Z19" i="3"/>
  <c r="Z18" i="3"/>
  <c r="Z17" i="3"/>
  <c r="Z16" i="3"/>
  <c r="Z15" i="3" s="1"/>
  <c r="T51" i="22" s="1"/>
  <c r="Z13" i="3"/>
  <c r="T50" i="22" s="1"/>
  <c r="Z12" i="3"/>
  <c r="T42" i="22" s="1"/>
  <c r="Z11" i="3"/>
  <c r="Z10" i="3"/>
  <c r="Z9" i="3"/>
  <c r="Z8" i="3"/>
  <c r="Z7" i="3"/>
  <c r="Z5" i="3"/>
  <c r="Z4" i="3"/>
  <c r="Z6" i="3" s="1"/>
  <c r="U236" i="29"/>
  <c r="U233" i="29"/>
  <c r="U231" i="29" s="1"/>
  <c r="Z230" i="3" s="1"/>
  <c r="U230" i="29"/>
  <c r="Z228" i="3" s="1"/>
  <c r="Z227" i="3" s="1"/>
  <c r="U225" i="29"/>
  <c r="Z224" i="3" s="1"/>
  <c r="U224" i="29"/>
  <c r="U228" i="29" s="1"/>
  <c r="U221" i="29"/>
  <c r="Z221" i="3" s="1"/>
  <c r="U220" i="29"/>
  <c r="U219" i="29"/>
  <c r="Z219" i="3" s="1"/>
  <c r="U218" i="29"/>
  <c r="Z218" i="3" s="1"/>
  <c r="U215" i="29"/>
  <c r="Z217" i="3" s="1"/>
  <c r="U214" i="29"/>
  <c r="U212" i="29" s="1"/>
  <c r="U213" i="29"/>
  <c r="U209" i="29"/>
  <c r="Z213" i="3" s="1"/>
  <c r="U208" i="29"/>
  <c r="U207" i="29"/>
  <c r="U206" i="29"/>
  <c r="Z210" i="3" s="1"/>
  <c r="U205" i="29"/>
  <c r="U203" i="29"/>
  <c r="S13" i="25"/>
  <c r="S7" i="24"/>
  <c r="S87" i="22"/>
  <c r="U14" i="21" l="1"/>
  <c r="T7" i="23"/>
  <c r="T9" i="23" s="1"/>
  <c r="Z214" i="3"/>
  <c r="Z234" i="3"/>
  <c r="S36" i="28" s="1"/>
  <c r="Z106" i="3"/>
  <c r="T3" i="23" s="1"/>
  <c r="Z216" i="3"/>
  <c r="T12" i="25"/>
  <c r="Z150" i="3"/>
  <c r="Z168" i="3"/>
  <c r="Z191" i="3"/>
  <c r="Z162" i="3" s="1"/>
  <c r="T4" i="23"/>
  <c r="T66" i="23"/>
  <c r="T74" i="23"/>
  <c r="Z87" i="3"/>
  <c r="Z132" i="3"/>
  <c r="T5" i="23" s="1"/>
  <c r="Z146" i="3"/>
  <c r="U211" i="29"/>
  <c r="U217" i="29" s="1"/>
  <c r="U222" i="29" s="1"/>
  <c r="Z25" i="3"/>
  <c r="T54" i="22" s="1"/>
  <c r="Z232" i="3"/>
  <c r="T49" i="22"/>
  <c r="Z223" i="3"/>
  <c r="Z226" i="3" s="1"/>
  <c r="S35" i="28" s="1"/>
  <c r="U5" i="21"/>
  <c r="T14" i="25"/>
  <c r="T61" i="25" s="1"/>
  <c r="U204" i="29"/>
  <c r="Z14" i="3"/>
  <c r="U239" i="29"/>
  <c r="Z61" i="3"/>
  <c r="Z209" i="3"/>
  <c r="Z208" i="3" s="1"/>
  <c r="U6" i="21"/>
  <c r="T55" i="22"/>
  <c r="T58" i="22" s="1"/>
  <c r="T43" i="22"/>
  <c r="T44" i="22"/>
  <c r="Z77" i="3"/>
  <c r="Z105" i="3"/>
  <c r="Z33" i="3"/>
  <c r="Y233" i="3"/>
  <c r="Y231" i="3"/>
  <c r="Y225" i="3"/>
  <c r="Y197" i="3"/>
  <c r="Y196" i="3"/>
  <c r="Y194" i="3"/>
  <c r="Y193" i="3"/>
  <c r="Y192" i="3"/>
  <c r="Y190" i="3"/>
  <c r="Y189" i="3"/>
  <c r="Y188" i="3"/>
  <c r="Y187" i="3"/>
  <c r="Y186" i="3"/>
  <c r="S73" i="23" s="1"/>
  <c r="Y185" i="3"/>
  <c r="S72" i="23" s="1"/>
  <c r="Y184" i="3"/>
  <c r="S71" i="23" s="1"/>
  <c r="Y183" i="3"/>
  <c r="Y182" i="3"/>
  <c r="Y181" i="3"/>
  <c r="Y180" i="3"/>
  <c r="S70" i="23" s="1"/>
  <c r="Y178" i="3"/>
  <c r="Y177" i="3"/>
  <c r="Y176" i="3"/>
  <c r="Y175" i="3"/>
  <c r="Y174" i="3"/>
  <c r="Y173" i="3"/>
  <c r="Y172" i="3"/>
  <c r="Y171" i="3"/>
  <c r="Y170" i="3"/>
  <c r="Y169" i="3"/>
  <c r="Y167" i="3"/>
  <c r="Y166" i="3"/>
  <c r="Y165" i="3"/>
  <c r="Y164" i="3"/>
  <c r="Y160" i="3"/>
  <c r="Y158" i="3" s="1"/>
  <c r="Y159" i="3"/>
  <c r="Y157" i="3"/>
  <c r="Y156" i="3"/>
  <c r="Y154" i="3"/>
  <c r="Y153" i="3"/>
  <c r="Y152" i="3"/>
  <c r="Y151" i="3"/>
  <c r="Y149" i="3"/>
  <c r="Y148" i="3"/>
  <c r="Y147" i="3"/>
  <c r="Y140" i="3"/>
  <c r="Y139" i="3"/>
  <c r="Y138" i="3"/>
  <c r="Y136" i="3"/>
  <c r="Y135" i="3"/>
  <c r="Y134" i="3"/>
  <c r="S69" i="23" s="1"/>
  <c r="Y133" i="3"/>
  <c r="Y131" i="3"/>
  <c r="Y130" i="3"/>
  <c r="Y129" i="3"/>
  <c r="S68" i="23" s="1"/>
  <c r="Y128" i="3"/>
  <c r="Y127" i="3"/>
  <c r="Y126" i="3"/>
  <c r="Y125" i="3"/>
  <c r="Y124" i="3"/>
  <c r="Y123" i="3"/>
  <c r="Y121" i="3"/>
  <c r="Y120" i="3"/>
  <c r="Y119" i="3"/>
  <c r="Y118" i="3"/>
  <c r="Y117" i="3"/>
  <c r="Y116" i="3"/>
  <c r="Y115" i="3"/>
  <c r="Y114" i="3"/>
  <c r="Y112" i="3"/>
  <c r="Y111" i="3"/>
  <c r="S67" i="23" s="1"/>
  <c r="Y110" i="3"/>
  <c r="Y109" i="3"/>
  <c r="S66" i="23" s="1"/>
  <c r="Y108" i="3"/>
  <c r="Y107" i="3"/>
  <c r="S64" i="23" s="1"/>
  <c r="Y104" i="3"/>
  <c r="Y103" i="3"/>
  <c r="Y102" i="3"/>
  <c r="Y101" i="3"/>
  <c r="Y100" i="3"/>
  <c r="Y99" i="3"/>
  <c r="Y98" i="3"/>
  <c r="Y96" i="3"/>
  <c r="Y95" i="3"/>
  <c r="Y94" i="3"/>
  <c r="Y93" i="3"/>
  <c r="Y92" i="3"/>
  <c r="Y91" i="3"/>
  <c r="Y90" i="3"/>
  <c r="Y89" i="3"/>
  <c r="Y88" i="3"/>
  <c r="Y86" i="3"/>
  <c r="Y85" i="3"/>
  <c r="Y84" i="3"/>
  <c r="Y83" i="3"/>
  <c r="Y82" i="3"/>
  <c r="Y81" i="3"/>
  <c r="Y80" i="3"/>
  <c r="Y79" i="3"/>
  <c r="Y76" i="3"/>
  <c r="Y62" i="3"/>
  <c r="Y60" i="3"/>
  <c r="Y59" i="3"/>
  <c r="Y58" i="3"/>
  <c r="Y57" i="3"/>
  <c r="Y56" i="3"/>
  <c r="Y54" i="3"/>
  <c r="Y53" i="3"/>
  <c r="Y52" i="3" s="1"/>
  <c r="S57" i="22" s="1"/>
  <c r="Y50" i="3"/>
  <c r="Y49" i="3"/>
  <c r="Y48" i="3"/>
  <c r="Y47" i="3"/>
  <c r="Y46" i="3"/>
  <c r="Y45" i="3"/>
  <c r="Y44" i="3"/>
  <c r="Y43" i="3"/>
  <c r="Y42" i="3"/>
  <c r="Y41" i="3"/>
  <c r="Y40" i="3"/>
  <c r="Y39" i="3"/>
  <c r="Y38" i="3"/>
  <c r="Y37" i="3"/>
  <c r="Y36" i="3"/>
  <c r="Y35" i="3"/>
  <c r="Y34" i="3"/>
  <c r="Y32" i="3"/>
  <c r="Y31" i="3"/>
  <c r="Y30" i="3"/>
  <c r="Y29" i="3"/>
  <c r="Y28" i="3"/>
  <c r="Y27" i="3"/>
  <c r="Y26" i="3"/>
  <c r="Y25" i="3" s="1"/>
  <c r="Y24" i="3"/>
  <c r="Y23" i="3"/>
  <c r="Y21" i="3"/>
  <c r="S53" i="22" s="1"/>
  <c r="Y20" i="3"/>
  <c r="S52" i="22" s="1"/>
  <c r="Y19" i="3"/>
  <c r="Y18" i="3"/>
  <c r="Y17" i="3"/>
  <c r="Y16" i="3"/>
  <c r="Y13" i="3"/>
  <c r="Y12" i="3"/>
  <c r="Y10" i="3"/>
  <c r="Y9" i="3"/>
  <c r="Y8" i="3"/>
  <c r="Y5" i="3"/>
  <c r="Y4" i="3"/>
  <c r="U4" i="21" l="1"/>
  <c r="T10" i="25"/>
  <c r="T8" i="25"/>
  <c r="T35" i="23"/>
  <c r="T36" i="23" s="1"/>
  <c r="T9" i="25"/>
  <c r="U240" i="29"/>
  <c r="U241" i="29" s="1"/>
  <c r="T6" i="23"/>
  <c r="T10" i="23" s="1"/>
  <c r="T13" i="23" s="1"/>
  <c r="U36" i="26"/>
  <c r="T33" i="23"/>
  <c r="U27" i="26"/>
  <c r="T34" i="23"/>
  <c r="T32" i="23"/>
  <c r="Z55" i="3"/>
  <c r="Z63" i="3" s="1"/>
  <c r="T6" i="22"/>
  <c r="T19" i="22" s="1"/>
  <c r="U8" i="21"/>
  <c r="U23" i="21" s="1"/>
  <c r="T11" i="22"/>
  <c r="T14" i="22"/>
  <c r="U7" i="21"/>
  <c r="U22" i="21" s="1"/>
  <c r="T13" i="22"/>
  <c r="T5" i="22"/>
  <c r="T18" i="22" s="1"/>
  <c r="U21" i="21"/>
  <c r="U35" i="26"/>
  <c r="U28" i="26"/>
  <c r="U8" i="26"/>
  <c r="T11" i="25"/>
  <c r="S54" i="22"/>
  <c r="Z75" i="3"/>
  <c r="U33" i="26" s="1"/>
  <c r="Z161" i="3"/>
  <c r="Z145" i="3" s="1"/>
  <c r="Z69" i="3"/>
  <c r="Z64" i="3"/>
  <c r="Y7" i="3"/>
  <c r="Y150" i="3"/>
  <c r="Y168" i="3"/>
  <c r="Y155" i="3"/>
  <c r="Y22" i="3"/>
  <c r="Y132" i="3"/>
  <c r="S5" i="23" s="1"/>
  <c r="Y146" i="3"/>
  <c r="Y97" i="3"/>
  <c r="Y191" i="3"/>
  <c r="Y122" i="3"/>
  <c r="S4" i="23" s="1"/>
  <c r="Y195" i="3"/>
  <c r="S55" i="22"/>
  <c r="T5" i="21"/>
  <c r="S14" i="25" s="1"/>
  <c r="S61" i="25" s="1"/>
  <c r="S49" i="22"/>
  <c r="S12" i="22"/>
  <c r="Y11" i="3"/>
  <c r="S50" i="22"/>
  <c r="Y78" i="3"/>
  <c r="Y87" i="3"/>
  <c r="Y113" i="3"/>
  <c r="Y163" i="3"/>
  <c r="S8" i="23"/>
  <c r="S74" i="23"/>
  <c r="Y6" i="3"/>
  <c r="S48" i="22"/>
  <c r="Y106" i="3"/>
  <c r="T8" i="26" s="1"/>
  <c r="S65" i="23"/>
  <c r="S3" i="22"/>
  <c r="S12" i="25"/>
  <c r="Y15" i="3"/>
  <c r="Y51" i="3"/>
  <c r="Y61" i="3"/>
  <c r="S56" i="22"/>
  <c r="Y137" i="3"/>
  <c r="Y179" i="3"/>
  <c r="T236" i="29"/>
  <c r="T233" i="29"/>
  <c r="Y232" i="3" s="1"/>
  <c r="T230" i="29"/>
  <c r="Y228" i="3" s="1"/>
  <c r="Y227" i="3" s="1"/>
  <c r="T225" i="29"/>
  <c r="Y224" i="3" s="1"/>
  <c r="T224" i="29"/>
  <c r="T221" i="29"/>
  <c r="Y221" i="3" s="1"/>
  <c r="T220" i="29"/>
  <c r="Y220" i="3" s="1"/>
  <c r="T219" i="29"/>
  <c r="Y219" i="3" s="1"/>
  <c r="T218" i="29"/>
  <c r="Y218" i="3" s="1"/>
  <c r="T215" i="29"/>
  <c r="Y217" i="3" s="1"/>
  <c r="T214" i="29"/>
  <c r="T213" i="29"/>
  <c r="Y215" i="3" s="1"/>
  <c r="T209" i="29"/>
  <c r="Y213" i="3" s="1"/>
  <c r="T208" i="29"/>
  <c r="T207" i="29"/>
  <c r="Y212" i="3" s="1"/>
  <c r="T206" i="29"/>
  <c r="Y210" i="3" s="1"/>
  <c r="T205" i="29"/>
  <c r="Y209" i="3" s="1"/>
  <c r="T203" i="29"/>
  <c r="T201" i="29"/>
  <c r="Y205" i="3" s="1"/>
  <c r="R13" i="25"/>
  <c r="R87" i="22"/>
  <c r="S81" i="22" s="1"/>
  <c r="T3" i="25" l="1"/>
  <c r="T17" i="25" s="1"/>
  <c r="T7" i="25"/>
  <c r="U17" i="21"/>
  <c r="U5" i="26"/>
  <c r="U26" i="26"/>
  <c r="U9" i="26"/>
  <c r="U23" i="26"/>
  <c r="Z144" i="3"/>
  <c r="Z199" i="3" s="1"/>
  <c r="T6" i="25"/>
  <c r="T4" i="25"/>
  <c r="T40" i="25" s="1"/>
  <c r="U3" i="21"/>
  <c r="T9" i="22"/>
  <c r="U9" i="21"/>
  <c r="T3" i="24"/>
  <c r="T7" i="22"/>
  <c r="T20" i="22" s="1"/>
  <c r="U10" i="21"/>
  <c r="U15" i="21"/>
  <c r="T8" i="22"/>
  <c r="T21" i="22" s="1"/>
  <c r="Z200" i="3"/>
  <c r="Y162" i="3"/>
  <c r="T13" i="21"/>
  <c r="Z207" i="3"/>
  <c r="Z222" i="3" s="1"/>
  <c r="Z71" i="3"/>
  <c r="T21" i="21"/>
  <c r="U69" i="21" s="1"/>
  <c r="T80" i="22" s="1"/>
  <c r="Y14" i="3"/>
  <c r="Y33" i="3" s="1"/>
  <c r="T28" i="26"/>
  <c r="Y77" i="3"/>
  <c r="Y105" i="3"/>
  <c r="S9" i="25" s="1"/>
  <c r="Y208" i="3"/>
  <c r="T212" i="29"/>
  <c r="Y216" i="3"/>
  <c r="Y214" i="3" s="1"/>
  <c r="T4" i="21"/>
  <c r="S45" i="22"/>
  <c r="S43" i="22"/>
  <c r="S51" i="22"/>
  <c r="S58" i="22" s="1"/>
  <c r="S44" i="22"/>
  <c r="S4" i="22"/>
  <c r="S17" i="22" s="1"/>
  <c r="T6" i="21"/>
  <c r="S42" i="22"/>
  <c r="T228" i="29"/>
  <c r="Y223" i="3"/>
  <c r="Y226" i="3" s="1"/>
  <c r="R35" i="28" s="1"/>
  <c r="T7" i="21"/>
  <c r="T22" i="21" s="1"/>
  <c r="U70" i="21" s="1"/>
  <c r="S7" i="23"/>
  <c r="S9" i="23" s="1"/>
  <c r="T14" i="21"/>
  <c r="S11" i="25"/>
  <c r="S3" i="23"/>
  <c r="S6" i="23" s="1"/>
  <c r="T231" i="29"/>
  <c r="T204" i="29"/>
  <c r="T211" i="29" s="1"/>
  <c r="X233" i="3"/>
  <c r="X231" i="3"/>
  <c r="X225" i="3"/>
  <c r="X197" i="3"/>
  <c r="X196" i="3"/>
  <c r="X194" i="3"/>
  <c r="X193" i="3"/>
  <c r="X192" i="3"/>
  <c r="X190" i="3"/>
  <c r="X189" i="3"/>
  <c r="X188" i="3"/>
  <c r="X187" i="3"/>
  <c r="X186" i="3"/>
  <c r="R73" i="23" s="1"/>
  <c r="X185" i="3"/>
  <c r="R72" i="23" s="1"/>
  <c r="X184" i="3"/>
  <c r="R71" i="23" s="1"/>
  <c r="X183" i="3"/>
  <c r="X182" i="3"/>
  <c r="X181" i="3"/>
  <c r="X180" i="3"/>
  <c r="R70" i="23" s="1"/>
  <c r="X178" i="3"/>
  <c r="X177" i="3"/>
  <c r="X176" i="3"/>
  <c r="X175" i="3"/>
  <c r="X174" i="3"/>
  <c r="X173" i="3"/>
  <c r="X172" i="3"/>
  <c r="X171" i="3"/>
  <c r="X170" i="3"/>
  <c r="X169" i="3"/>
  <c r="X167" i="3"/>
  <c r="X166" i="3"/>
  <c r="X165" i="3"/>
  <c r="X164" i="3"/>
  <c r="X160" i="3"/>
  <c r="X159" i="3"/>
  <c r="X158" i="3" s="1"/>
  <c r="X157" i="3"/>
  <c r="X156" i="3"/>
  <c r="X154" i="3"/>
  <c r="X153" i="3"/>
  <c r="X152" i="3"/>
  <c r="X151" i="3"/>
  <c r="X149" i="3"/>
  <c r="X148" i="3"/>
  <c r="X147" i="3"/>
  <c r="X140" i="3"/>
  <c r="X139" i="3"/>
  <c r="X138" i="3"/>
  <c r="X136" i="3"/>
  <c r="X135" i="3"/>
  <c r="X134" i="3"/>
  <c r="R69" i="23" s="1"/>
  <c r="X133" i="3"/>
  <c r="X131" i="3"/>
  <c r="X130" i="3"/>
  <c r="X129" i="3"/>
  <c r="R68" i="23" s="1"/>
  <c r="X128" i="3"/>
  <c r="X127" i="3"/>
  <c r="X126" i="3"/>
  <c r="X125" i="3"/>
  <c r="X124" i="3"/>
  <c r="X123" i="3"/>
  <c r="X121" i="3"/>
  <c r="X120" i="3"/>
  <c r="X119" i="3"/>
  <c r="X118" i="3"/>
  <c r="X117" i="3"/>
  <c r="X116" i="3"/>
  <c r="X115" i="3"/>
  <c r="X114" i="3"/>
  <c r="X112" i="3"/>
  <c r="X111" i="3"/>
  <c r="R67" i="23" s="1"/>
  <c r="X110" i="3"/>
  <c r="X109" i="3"/>
  <c r="R66" i="23" s="1"/>
  <c r="X108" i="3"/>
  <c r="R65" i="23" s="1"/>
  <c r="X107" i="3"/>
  <c r="R64" i="23" s="1"/>
  <c r="X104" i="3"/>
  <c r="X103" i="3"/>
  <c r="X102" i="3"/>
  <c r="X101" i="3"/>
  <c r="X100" i="3"/>
  <c r="X99" i="3"/>
  <c r="X98" i="3"/>
  <c r="X96" i="3"/>
  <c r="X95" i="3"/>
  <c r="X94" i="3"/>
  <c r="X93" i="3"/>
  <c r="X92" i="3"/>
  <c r="X91" i="3"/>
  <c r="X90" i="3"/>
  <c r="X89" i="3"/>
  <c r="X88" i="3"/>
  <c r="X86" i="3"/>
  <c r="X85" i="3"/>
  <c r="X84" i="3"/>
  <c r="X83" i="3"/>
  <c r="X82" i="3"/>
  <c r="X81" i="3"/>
  <c r="X80" i="3"/>
  <c r="X79" i="3"/>
  <c r="X76" i="3"/>
  <c r="X62" i="3"/>
  <c r="X60" i="3"/>
  <c r="X59" i="3"/>
  <c r="X58" i="3"/>
  <c r="X57" i="3"/>
  <c r="X56" i="3"/>
  <c r="X54" i="3"/>
  <c r="X53" i="3"/>
  <c r="X50" i="3"/>
  <c r="X49" i="3"/>
  <c r="X48" i="3"/>
  <c r="X47" i="3"/>
  <c r="X46" i="3"/>
  <c r="X45" i="3"/>
  <c r="X44" i="3"/>
  <c r="X43" i="3"/>
  <c r="X42" i="3"/>
  <c r="X41" i="3"/>
  <c r="X40" i="3"/>
  <c r="X39" i="3"/>
  <c r="X38" i="3"/>
  <c r="X37" i="3"/>
  <c r="X36" i="3"/>
  <c r="X35" i="3"/>
  <c r="X34" i="3"/>
  <c r="X32" i="3"/>
  <c r="X31" i="3"/>
  <c r="X30" i="3"/>
  <c r="X29" i="3"/>
  <c r="X28" i="3"/>
  <c r="X27" i="3"/>
  <c r="X26" i="3"/>
  <c r="X24" i="3"/>
  <c r="X23" i="3"/>
  <c r="X21" i="3"/>
  <c r="R53" i="22" s="1"/>
  <c r="X20" i="3"/>
  <c r="R52" i="22" s="1"/>
  <c r="X19" i="3"/>
  <c r="X18" i="3"/>
  <c r="X17" i="3"/>
  <c r="X16" i="3"/>
  <c r="X13" i="3"/>
  <c r="X12" i="3"/>
  <c r="X10" i="3"/>
  <c r="X9" i="3"/>
  <c r="X8" i="3"/>
  <c r="X5" i="3"/>
  <c r="R48" i="22" s="1"/>
  <c r="X4" i="3"/>
  <c r="S236" i="29"/>
  <c r="S233" i="29"/>
  <c r="S230" i="29"/>
  <c r="X228" i="3" s="1"/>
  <c r="X227" i="3" s="1"/>
  <c r="S225" i="29"/>
  <c r="X224" i="3" s="1"/>
  <c r="S224" i="29"/>
  <c r="S221" i="29"/>
  <c r="X221" i="3" s="1"/>
  <c r="S220" i="29"/>
  <c r="X220" i="3" s="1"/>
  <c r="S219" i="29"/>
  <c r="X219" i="3" s="1"/>
  <c r="S218" i="29"/>
  <c r="X218" i="3" s="1"/>
  <c r="S215" i="29"/>
  <c r="X217" i="3" s="1"/>
  <c r="S214" i="29"/>
  <c r="X216" i="3" s="1"/>
  <c r="S213" i="29"/>
  <c r="S209" i="29"/>
  <c r="X213" i="3" s="1"/>
  <c r="S208" i="29"/>
  <c r="S207" i="29"/>
  <c r="X212" i="3" s="1"/>
  <c r="S206" i="29"/>
  <c r="X210" i="3" s="1"/>
  <c r="S205" i="29"/>
  <c r="S203" i="29"/>
  <c r="S201" i="29"/>
  <c r="X205" i="3" s="1"/>
  <c r="Q13" i="25"/>
  <c r="P13" i="25"/>
  <c r="O13" i="25"/>
  <c r="N13" i="25"/>
  <c r="M13" i="25"/>
  <c r="L13" i="25"/>
  <c r="Q87" i="22"/>
  <c r="R81" i="22" s="1"/>
  <c r="W233" i="3"/>
  <c r="W231" i="3"/>
  <c r="W225" i="3"/>
  <c r="W197" i="3"/>
  <c r="W196" i="3"/>
  <c r="W194" i="3"/>
  <c r="W193" i="3"/>
  <c r="Q74" i="23" s="1"/>
  <c r="W192" i="3"/>
  <c r="W190" i="3"/>
  <c r="W189" i="3"/>
  <c r="W188" i="3"/>
  <c r="W187" i="3"/>
  <c r="W186" i="3"/>
  <c r="Q73" i="23" s="1"/>
  <c r="W185" i="3"/>
  <c r="Q72" i="23" s="1"/>
  <c r="W184" i="3"/>
  <c r="Q71" i="23" s="1"/>
  <c r="W183" i="3"/>
  <c r="W182" i="3"/>
  <c r="W181" i="3"/>
  <c r="W180" i="3"/>
  <c r="Q70" i="23" s="1"/>
  <c r="W178" i="3"/>
  <c r="W177" i="3"/>
  <c r="W176" i="3"/>
  <c r="W175" i="3"/>
  <c r="W174" i="3"/>
  <c r="W173" i="3"/>
  <c r="W172" i="3"/>
  <c r="W171" i="3"/>
  <c r="W170" i="3"/>
  <c r="W169" i="3"/>
  <c r="W167" i="3"/>
  <c r="W166" i="3"/>
  <c r="W165" i="3"/>
  <c r="W164" i="3"/>
  <c r="W160" i="3"/>
  <c r="W159" i="3"/>
  <c r="W157" i="3"/>
  <c r="W156" i="3"/>
  <c r="W154" i="3"/>
  <c r="W153" i="3"/>
  <c r="W152" i="3"/>
  <c r="W151" i="3"/>
  <c r="W149" i="3"/>
  <c r="W148" i="3"/>
  <c r="W147" i="3"/>
  <c r="W140" i="3"/>
  <c r="W139" i="3"/>
  <c r="W138" i="3"/>
  <c r="W136" i="3"/>
  <c r="W135" i="3"/>
  <c r="W134" i="3"/>
  <c r="Q69" i="23" s="1"/>
  <c r="W133" i="3"/>
  <c r="W131" i="3"/>
  <c r="W130" i="3"/>
  <c r="W129" i="3"/>
  <c r="Q68" i="23" s="1"/>
  <c r="W128" i="3"/>
  <c r="W127" i="3"/>
  <c r="W126" i="3"/>
  <c r="W125" i="3"/>
  <c r="W124" i="3"/>
  <c r="W123" i="3"/>
  <c r="W121" i="3"/>
  <c r="W120" i="3"/>
  <c r="W119" i="3"/>
  <c r="W118" i="3"/>
  <c r="W117" i="3"/>
  <c r="W116" i="3"/>
  <c r="W115" i="3"/>
  <c r="W114" i="3"/>
  <c r="W112" i="3"/>
  <c r="W111" i="3"/>
  <c r="Q67" i="23" s="1"/>
  <c r="W110" i="3"/>
  <c r="W109" i="3"/>
  <c r="W108" i="3"/>
  <c r="Q65" i="23" s="1"/>
  <c r="W107" i="3"/>
  <c r="Q64" i="23" s="1"/>
  <c r="W104" i="3"/>
  <c r="W103" i="3"/>
  <c r="W102" i="3"/>
  <c r="W101" i="3"/>
  <c r="W100" i="3"/>
  <c r="W99" i="3"/>
  <c r="W98" i="3"/>
  <c r="W96" i="3"/>
  <c r="W95" i="3"/>
  <c r="W94" i="3"/>
  <c r="W93" i="3"/>
  <c r="W92" i="3"/>
  <c r="W91" i="3"/>
  <c r="W90" i="3"/>
  <c r="W89" i="3"/>
  <c r="W88" i="3"/>
  <c r="W86" i="3"/>
  <c r="W85" i="3"/>
  <c r="W84" i="3"/>
  <c r="W83" i="3"/>
  <c r="W82" i="3"/>
  <c r="W81" i="3"/>
  <c r="W80" i="3"/>
  <c r="W79" i="3"/>
  <c r="W76" i="3"/>
  <c r="W62" i="3"/>
  <c r="W60" i="3"/>
  <c r="W59" i="3"/>
  <c r="W58" i="3"/>
  <c r="W57" i="3"/>
  <c r="W56" i="3"/>
  <c r="W54" i="3"/>
  <c r="W53" i="3"/>
  <c r="W50" i="3"/>
  <c r="W49" i="3"/>
  <c r="W48" i="3"/>
  <c r="W47" i="3"/>
  <c r="W46" i="3"/>
  <c r="W45" i="3"/>
  <c r="W44" i="3"/>
  <c r="W43" i="3"/>
  <c r="W42" i="3"/>
  <c r="W41" i="3"/>
  <c r="W40" i="3"/>
  <c r="W39" i="3"/>
  <c r="W38" i="3"/>
  <c r="W37" i="3"/>
  <c r="W36" i="3"/>
  <c r="W35" i="3"/>
  <c r="W34" i="3"/>
  <c r="W32" i="3"/>
  <c r="W31" i="3"/>
  <c r="W30" i="3"/>
  <c r="W29" i="3"/>
  <c r="W28" i="3"/>
  <c r="W27" i="3"/>
  <c r="W26" i="3"/>
  <c r="W24" i="3"/>
  <c r="W23" i="3"/>
  <c r="W21" i="3"/>
  <c r="Q53" i="22" s="1"/>
  <c r="W20" i="3"/>
  <c r="Q52" i="22" s="1"/>
  <c r="W19" i="3"/>
  <c r="W18" i="3"/>
  <c r="W17" i="3"/>
  <c r="W16" i="3"/>
  <c r="W13" i="3"/>
  <c r="Q50" i="22" s="1"/>
  <c r="W12" i="3"/>
  <c r="W10" i="3"/>
  <c r="W9" i="3"/>
  <c r="W8" i="3"/>
  <c r="W5" i="3"/>
  <c r="Q48" i="22" s="1"/>
  <c r="W4" i="3"/>
  <c r="R236" i="29"/>
  <c r="R233" i="29"/>
  <c r="W232" i="3" s="1"/>
  <c r="R230" i="29"/>
  <c r="W228" i="3" s="1"/>
  <c r="W227" i="3" s="1"/>
  <c r="R225" i="29"/>
  <c r="W224" i="3" s="1"/>
  <c r="R224" i="29"/>
  <c r="W223" i="3" s="1"/>
  <c r="R221" i="29"/>
  <c r="W221" i="3" s="1"/>
  <c r="R220" i="29"/>
  <c r="W220" i="3" s="1"/>
  <c r="R219" i="29"/>
  <c r="W219" i="3" s="1"/>
  <c r="R218" i="29"/>
  <c r="W218" i="3" s="1"/>
  <c r="R215" i="29"/>
  <c r="R214" i="29"/>
  <c r="W216" i="3" s="1"/>
  <c r="R213" i="29"/>
  <c r="W215" i="3" s="1"/>
  <c r="R209" i="29"/>
  <c r="W213" i="3" s="1"/>
  <c r="R208" i="29"/>
  <c r="R207" i="29"/>
  <c r="W212" i="3" s="1"/>
  <c r="R206" i="29"/>
  <c r="W210" i="3" s="1"/>
  <c r="R205" i="29"/>
  <c r="W209" i="3" s="1"/>
  <c r="R203" i="29"/>
  <c r="R201" i="29"/>
  <c r="W205" i="3" s="1"/>
  <c r="P87" i="22"/>
  <c r="V233" i="3"/>
  <c r="V231" i="3"/>
  <c r="V225" i="3"/>
  <c r="V197" i="3"/>
  <c r="V196" i="3"/>
  <c r="V194" i="3"/>
  <c r="V193" i="3"/>
  <c r="V192" i="3"/>
  <c r="V190" i="3"/>
  <c r="V189" i="3"/>
  <c r="V188" i="3"/>
  <c r="V187" i="3"/>
  <c r="V186" i="3"/>
  <c r="P73" i="23" s="1"/>
  <c r="V185" i="3"/>
  <c r="P72" i="23" s="1"/>
  <c r="V184" i="3"/>
  <c r="P71" i="23" s="1"/>
  <c r="V183" i="3"/>
  <c r="V182" i="3"/>
  <c r="V181" i="3"/>
  <c r="V180" i="3"/>
  <c r="P70" i="23" s="1"/>
  <c r="V178" i="3"/>
  <c r="V177" i="3"/>
  <c r="V176" i="3"/>
  <c r="V175" i="3"/>
  <c r="V174" i="3"/>
  <c r="V173" i="3"/>
  <c r="V172" i="3"/>
  <c r="V171" i="3"/>
  <c r="V170" i="3"/>
  <c r="V169" i="3"/>
  <c r="V167" i="3"/>
  <c r="V166" i="3"/>
  <c r="V165" i="3"/>
  <c r="V164" i="3"/>
  <c r="V160" i="3"/>
  <c r="V159" i="3"/>
  <c r="V157" i="3"/>
  <c r="V156" i="3"/>
  <c r="V154" i="3"/>
  <c r="V153" i="3"/>
  <c r="V152" i="3"/>
  <c r="V151" i="3"/>
  <c r="V149" i="3"/>
  <c r="V148" i="3"/>
  <c r="V147" i="3"/>
  <c r="V140" i="3"/>
  <c r="V139" i="3"/>
  <c r="V138" i="3"/>
  <c r="V136" i="3"/>
  <c r="V135" i="3"/>
  <c r="V134" i="3"/>
  <c r="P69" i="23" s="1"/>
  <c r="V133" i="3"/>
  <c r="V131" i="3"/>
  <c r="V130" i="3"/>
  <c r="V129" i="3"/>
  <c r="P68" i="23" s="1"/>
  <c r="V128" i="3"/>
  <c r="V127" i="3"/>
  <c r="V126" i="3"/>
  <c r="V125" i="3"/>
  <c r="V124" i="3"/>
  <c r="V123" i="3"/>
  <c r="V121" i="3"/>
  <c r="V120" i="3"/>
  <c r="V119" i="3"/>
  <c r="V118" i="3"/>
  <c r="V117" i="3"/>
  <c r="V116" i="3"/>
  <c r="V115" i="3"/>
  <c r="V114" i="3"/>
  <c r="V112" i="3"/>
  <c r="V111" i="3"/>
  <c r="P67" i="23" s="1"/>
  <c r="V110" i="3"/>
  <c r="V109" i="3"/>
  <c r="P66" i="23" s="1"/>
  <c r="V108" i="3"/>
  <c r="V107" i="3"/>
  <c r="P64" i="23" s="1"/>
  <c r="V104" i="3"/>
  <c r="V103" i="3"/>
  <c r="V102" i="3"/>
  <c r="V101" i="3"/>
  <c r="V100" i="3"/>
  <c r="V99" i="3"/>
  <c r="V98" i="3"/>
  <c r="V96" i="3"/>
  <c r="V95" i="3"/>
  <c r="V94" i="3"/>
  <c r="V93" i="3"/>
  <c r="V92" i="3"/>
  <c r="V91" i="3"/>
  <c r="V90" i="3"/>
  <c r="V89" i="3"/>
  <c r="V88" i="3"/>
  <c r="V86" i="3"/>
  <c r="V85" i="3"/>
  <c r="V84" i="3"/>
  <c r="V83" i="3"/>
  <c r="V82" i="3"/>
  <c r="V81" i="3"/>
  <c r="V80" i="3"/>
  <c r="V79" i="3"/>
  <c r="V76" i="3"/>
  <c r="V62" i="3"/>
  <c r="V60" i="3"/>
  <c r="V59" i="3"/>
  <c r="V58" i="3"/>
  <c r="V57" i="3"/>
  <c r="V56" i="3"/>
  <c r="V54" i="3"/>
  <c r="V53" i="3"/>
  <c r="V50" i="3"/>
  <c r="V49" i="3"/>
  <c r="V48" i="3"/>
  <c r="V47" i="3"/>
  <c r="V46" i="3"/>
  <c r="V45" i="3"/>
  <c r="V44" i="3"/>
  <c r="V43" i="3"/>
  <c r="V42" i="3"/>
  <c r="V41" i="3"/>
  <c r="V40" i="3"/>
  <c r="V39" i="3"/>
  <c r="V38" i="3"/>
  <c r="V37" i="3"/>
  <c r="V36" i="3"/>
  <c r="V35" i="3"/>
  <c r="V34" i="3"/>
  <c r="V32" i="3"/>
  <c r="V31" i="3"/>
  <c r="V30" i="3"/>
  <c r="V29" i="3"/>
  <c r="V28" i="3"/>
  <c r="V27" i="3"/>
  <c r="V26" i="3"/>
  <c r="V24" i="3"/>
  <c r="V23" i="3"/>
  <c r="V21" i="3"/>
  <c r="P53" i="22" s="1"/>
  <c r="V20" i="3"/>
  <c r="P52" i="22" s="1"/>
  <c r="V19" i="3"/>
  <c r="V18" i="3"/>
  <c r="V17" i="3"/>
  <c r="V16" i="3"/>
  <c r="V13" i="3"/>
  <c r="P50" i="22" s="1"/>
  <c r="V12" i="3"/>
  <c r="P49" i="22" s="1"/>
  <c r="V10" i="3"/>
  <c r="V9" i="3"/>
  <c r="V8" i="3"/>
  <c r="V5" i="3"/>
  <c r="V4" i="3"/>
  <c r="Q236" i="29"/>
  <c r="Q233" i="29"/>
  <c r="V232" i="3" s="1"/>
  <c r="Q230" i="29"/>
  <c r="V228" i="3" s="1"/>
  <c r="V227" i="3" s="1"/>
  <c r="Q225" i="29"/>
  <c r="V224" i="3" s="1"/>
  <c r="Q224" i="29"/>
  <c r="Q221" i="29"/>
  <c r="V221" i="3" s="1"/>
  <c r="Q220" i="29"/>
  <c r="V220" i="3" s="1"/>
  <c r="Q219" i="29"/>
  <c r="V219" i="3" s="1"/>
  <c r="Q218" i="29"/>
  <c r="V218" i="3" s="1"/>
  <c r="Q215" i="29"/>
  <c r="V217" i="3" s="1"/>
  <c r="Q214" i="29"/>
  <c r="V216" i="3" s="1"/>
  <c r="Q213" i="29"/>
  <c r="Q209" i="29"/>
  <c r="V213" i="3" s="1"/>
  <c r="Q208" i="29"/>
  <c r="Q207" i="29"/>
  <c r="V212" i="3" s="1"/>
  <c r="Q206" i="29"/>
  <c r="V210" i="3" s="1"/>
  <c r="Q205" i="29"/>
  <c r="V209" i="3" s="1"/>
  <c r="Q203" i="29"/>
  <c r="Q201" i="29"/>
  <c r="V205" i="3" s="1"/>
  <c r="Z235" i="3" l="1"/>
  <c r="U12" i="21" s="1"/>
  <c r="S34" i="28"/>
  <c r="S3" i="28"/>
  <c r="T4" i="24"/>
  <c r="T32" i="24" s="1"/>
  <c r="U18" i="21"/>
  <c r="U6" i="26"/>
  <c r="U7" i="26"/>
  <c r="U24" i="21"/>
  <c r="T6" i="24"/>
  <c r="T10" i="22"/>
  <c r="U17" i="26"/>
  <c r="T5" i="24"/>
  <c r="U25" i="26"/>
  <c r="U34" i="26"/>
  <c r="U37" i="26" s="1"/>
  <c r="U45" i="26" s="1"/>
  <c r="U24" i="26"/>
  <c r="U15" i="26"/>
  <c r="U16" i="26"/>
  <c r="T5" i="25"/>
  <c r="U18" i="26"/>
  <c r="U14" i="26"/>
  <c r="S5" i="22"/>
  <c r="S18" i="22" s="1"/>
  <c r="S13" i="22"/>
  <c r="S14" i="22"/>
  <c r="S8" i="25"/>
  <c r="Z238" i="3"/>
  <c r="Z236" i="3"/>
  <c r="U11" i="21" s="1"/>
  <c r="U4" i="26" s="1"/>
  <c r="Q56" i="22"/>
  <c r="T217" i="29"/>
  <c r="T222" i="29" s="1"/>
  <c r="T240" i="29" s="1"/>
  <c r="T241" i="29" s="1"/>
  <c r="S35" i="23"/>
  <c r="S36" i="23" s="1"/>
  <c r="W52" i="3"/>
  <c r="Q57" i="22" s="1"/>
  <c r="R55" i="22"/>
  <c r="X22" i="3"/>
  <c r="X155" i="3"/>
  <c r="Y75" i="3"/>
  <c r="T5" i="26"/>
  <c r="W11" i="3"/>
  <c r="W22" i="3"/>
  <c r="T239" i="29"/>
  <c r="Y230" i="3"/>
  <c r="Y234" i="3" s="1"/>
  <c r="R36" i="28" s="1"/>
  <c r="S33" i="23"/>
  <c r="T36" i="26"/>
  <c r="S32" i="23"/>
  <c r="T27" i="26"/>
  <c r="S34" i="23"/>
  <c r="Y55" i="3"/>
  <c r="Y63" i="3" s="1"/>
  <c r="S6" i="22"/>
  <c r="S19" i="22" s="1"/>
  <c r="T8" i="21"/>
  <c r="T23" i="21" s="1"/>
  <c r="U71" i="21" s="1"/>
  <c r="S11" i="22"/>
  <c r="S10" i="25"/>
  <c r="S10" i="23"/>
  <c r="S13" i="23" s="1"/>
  <c r="V22" i="3"/>
  <c r="X137" i="3"/>
  <c r="S231" i="29"/>
  <c r="X230" i="3" s="1"/>
  <c r="X234" i="3" s="1"/>
  <c r="Q36" i="28" s="1"/>
  <c r="X163" i="3"/>
  <c r="R8" i="23"/>
  <c r="R74" i="23"/>
  <c r="X113" i="3"/>
  <c r="R12" i="22"/>
  <c r="X6" i="3"/>
  <c r="R12" i="25"/>
  <c r="R3" i="22"/>
  <c r="R43" i="22" s="1"/>
  <c r="R49" i="22"/>
  <c r="R50" i="22"/>
  <c r="S228" i="29"/>
  <c r="R56" i="22"/>
  <c r="X195" i="3"/>
  <c r="X191" i="3"/>
  <c r="X97" i="3"/>
  <c r="X179" i="3"/>
  <c r="Q55" i="22"/>
  <c r="S204" i="29"/>
  <c r="X78" i="3"/>
  <c r="X87" i="3"/>
  <c r="X150" i="3"/>
  <c r="X168" i="3"/>
  <c r="S212" i="29"/>
  <c r="X122" i="3"/>
  <c r="X132" i="3"/>
  <c r="R5" i="23" s="1"/>
  <c r="X146" i="3"/>
  <c r="W61" i="3"/>
  <c r="W155" i="3"/>
  <c r="W195" i="3"/>
  <c r="X106" i="3"/>
  <c r="X215" i="3"/>
  <c r="X214" i="3" s="1"/>
  <c r="X11" i="3"/>
  <c r="X14" i="3" s="1"/>
  <c r="X209" i="3"/>
  <c r="X208" i="3" s="1"/>
  <c r="S211" i="29"/>
  <c r="X7" i="3"/>
  <c r="S5" i="21" s="1"/>
  <c r="X51" i="3"/>
  <c r="X61" i="3"/>
  <c r="X223" i="3"/>
  <c r="X226" i="3" s="1"/>
  <c r="Q35" i="28" s="1"/>
  <c r="X15" i="3"/>
  <c r="X25" i="3"/>
  <c r="R54" i="22" s="1"/>
  <c r="X52" i="3"/>
  <c r="R57" i="22" s="1"/>
  <c r="X232" i="3"/>
  <c r="W15" i="3"/>
  <c r="Q51" i="22" s="1"/>
  <c r="P56" i="22"/>
  <c r="Q12" i="25"/>
  <c r="W191" i="3"/>
  <c r="W113" i="3"/>
  <c r="W158" i="3"/>
  <c r="Q12" i="22"/>
  <c r="W97" i="3"/>
  <c r="W137" i="3"/>
  <c r="W106" i="3"/>
  <c r="Q3" i="23" s="1"/>
  <c r="W163" i="3"/>
  <c r="R212" i="29"/>
  <c r="W150" i="3"/>
  <c r="W168" i="3"/>
  <c r="W179" i="3"/>
  <c r="Q8" i="23"/>
  <c r="W208" i="3"/>
  <c r="W87" i="3"/>
  <c r="W132" i="3"/>
  <c r="Q5" i="23" s="1"/>
  <c r="W146" i="3"/>
  <c r="W217" i="3"/>
  <c r="W214" i="3" s="1"/>
  <c r="W78" i="3"/>
  <c r="W122" i="3"/>
  <c r="Q66" i="23"/>
  <c r="W7" i="3"/>
  <c r="R5" i="21" s="1"/>
  <c r="W51" i="3"/>
  <c r="W226" i="3"/>
  <c r="P35" i="28" s="1"/>
  <c r="Q49" i="22"/>
  <c r="R228" i="29"/>
  <c r="W6" i="3"/>
  <c r="W25" i="3"/>
  <c r="Q54" i="22" s="1"/>
  <c r="Q3" i="22"/>
  <c r="Q81" i="22"/>
  <c r="R204" i="29"/>
  <c r="R211" i="29" s="1"/>
  <c r="R217" i="29" s="1"/>
  <c r="R222" i="29" s="1"/>
  <c r="R231" i="29"/>
  <c r="W230" i="3" s="1"/>
  <c r="W234" i="3" s="1"/>
  <c r="P36" i="28" s="1"/>
  <c r="V6" i="3"/>
  <c r="P4" i="22" s="1"/>
  <c r="P17" i="22" s="1"/>
  <c r="P55" i="22"/>
  <c r="V97" i="3"/>
  <c r="V106" i="3"/>
  <c r="P3" i="23" s="1"/>
  <c r="V163" i="3"/>
  <c r="Q228" i="29"/>
  <c r="P12" i="22"/>
  <c r="P3" i="22"/>
  <c r="P45" i="22" s="1"/>
  <c r="P12" i="25"/>
  <c r="P48" i="22"/>
  <c r="V15" i="3"/>
  <c r="P51" i="22" s="1"/>
  <c r="V25" i="3"/>
  <c r="P54" i="22" s="1"/>
  <c r="V52" i="3"/>
  <c r="P57" i="22" s="1"/>
  <c r="V191" i="3"/>
  <c r="P74" i="23"/>
  <c r="V137" i="3"/>
  <c r="V179" i="3"/>
  <c r="P8" i="23"/>
  <c r="Q212" i="29"/>
  <c r="V113" i="3"/>
  <c r="V155" i="3"/>
  <c r="V195" i="3"/>
  <c r="P65" i="23"/>
  <c r="P42" i="22"/>
  <c r="V158" i="3"/>
  <c r="V215" i="3"/>
  <c r="V214" i="3" s="1"/>
  <c r="V87" i="3"/>
  <c r="V150" i="3"/>
  <c r="V168" i="3"/>
  <c r="V208" i="3"/>
  <c r="V78" i="3"/>
  <c r="V122" i="3"/>
  <c r="V132" i="3"/>
  <c r="P5" i="23" s="1"/>
  <c r="V146" i="3"/>
  <c r="V223" i="3"/>
  <c r="V226" i="3" s="1"/>
  <c r="O35" i="28" s="1"/>
  <c r="V11" i="3"/>
  <c r="V7" i="3"/>
  <c r="Q5" i="21" s="1"/>
  <c r="V51" i="3"/>
  <c r="V61" i="3"/>
  <c r="Q204" i="29"/>
  <c r="Q211" i="29" s="1"/>
  <c r="Q231" i="29"/>
  <c r="O87" i="22"/>
  <c r="P81" i="22" s="1"/>
  <c r="U19" i="26" l="1"/>
  <c r="U43" i="26" s="1"/>
  <c r="S9" i="28"/>
  <c r="S7" i="28"/>
  <c r="S14" i="28" s="1"/>
  <c r="S6" i="28"/>
  <c r="S13" i="28" s="1"/>
  <c r="S8" i="28"/>
  <c r="S5" i="28"/>
  <c r="S12" i="28" s="1"/>
  <c r="U10" i="26"/>
  <c r="U42" i="26" s="1"/>
  <c r="U29" i="26"/>
  <c r="U44" i="26" s="1"/>
  <c r="S7" i="25"/>
  <c r="T17" i="21"/>
  <c r="T23" i="26"/>
  <c r="Y200" i="3"/>
  <c r="T35" i="26"/>
  <c r="T9" i="26"/>
  <c r="S3" i="25"/>
  <c r="S17" i="25" s="1"/>
  <c r="T26" i="26"/>
  <c r="T33" i="26"/>
  <c r="S239" i="29"/>
  <c r="Q6" i="21"/>
  <c r="W14" i="3"/>
  <c r="R7" i="21" s="1"/>
  <c r="R22" i="21" s="1"/>
  <c r="S8" i="22"/>
  <c r="S21" i="22" s="1"/>
  <c r="T15" i="21"/>
  <c r="T10" i="21"/>
  <c r="Y161" i="3"/>
  <c r="Y145" i="3" s="1"/>
  <c r="Y64" i="3"/>
  <c r="Y69" i="3"/>
  <c r="Q217" i="29"/>
  <c r="Q222" i="29" s="1"/>
  <c r="Q45" i="22"/>
  <c r="W3" i="22"/>
  <c r="W4" i="22"/>
  <c r="R7" i="23"/>
  <c r="R9" i="23" s="1"/>
  <c r="S14" i="21"/>
  <c r="X77" i="3"/>
  <c r="X105" i="3"/>
  <c r="R3" i="23"/>
  <c r="X162" i="3"/>
  <c r="R4" i="23"/>
  <c r="S13" i="21"/>
  <c r="S21" i="21"/>
  <c r="T69" i="21" s="1"/>
  <c r="S80" i="22" s="1"/>
  <c r="S8" i="26"/>
  <c r="R11" i="25"/>
  <c r="S28" i="26"/>
  <c r="R14" i="25"/>
  <c r="R61" i="25" s="1"/>
  <c r="R51" i="22"/>
  <c r="R58" i="22" s="1"/>
  <c r="R44" i="22"/>
  <c r="R45" i="22"/>
  <c r="X3" i="22"/>
  <c r="X33" i="3"/>
  <c r="R14" i="22"/>
  <c r="R13" i="22"/>
  <c r="R5" i="22"/>
  <c r="R18" i="22" s="1"/>
  <c r="S7" i="21"/>
  <c r="S22" i="21" s="1"/>
  <c r="T70" i="21" s="1"/>
  <c r="R42" i="22"/>
  <c r="S6" i="21"/>
  <c r="R4" i="22"/>
  <c r="R17" i="22" s="1"/>
  <c r="S217" i="29"/>
  <c r="S222" i="29" s="1"/>
  <c r="S240" i="29" s="1"/>
  <c r="S241" i="29" s="1"/>
  <c r="Q58" i="22"/>
  <c r="W105" i="3"/>
  <c r="Q35" i="23" s="1"/>
  <c r="Q36" i="23" s="1"/>
  <c r="V105" i="3"/>
  <c r="P35" i="23" s="1"/>
  <c r="P36" i="23" s="1"/>
  <c r="P44" i="22"/>
  <c r="Q43" i="22"/>
  <c r="Q44" i="22"/>
  <c r="V77" i="3"/>
  <c r="V75" i="3" s="1"/>
  <c r="Q35" i="26" s="1"/>
  <c r="P43" i="22"/>
  <c r="W77" i="3"/>
  <c r="W162" i="3"/>
  <c r="R4" i="21" s="1"/>
  <c r="R13" i="21"/>
  <c r="Q4" i="23"/>
  <c r="Q6" i="23" s="1"/>
  <c r="R14" i="21"/>
  <c r="Q7" i="23"/>
  <c r="Q9" i="23" s="1"/>
  <c r="R21" i="21"/>
  <c r="Q11" i="25"/>
  <c r="R8" i="26"/>
  <c r="Q14" i="25"/>
  <c r="Q61" i="25" s="1"/>
  <c r="R28" i="26"/>
  <c r="W33" i="3"/>
  <c r="Q42" i="22"/>
  <c r="Q4" i="22"/>
  <c r="Q17" i="22" s="1"/>
  <c r="R6" i="21"/>
  <c r="R239" i="29"/>
  <c r="R240" i="29" s="1"/>
  <c r="R241" i="29" s="1"/>
  <c r="V162" i="3"/>
  <c r="Q4" i="21" s="1"/>
  <c r="P58" i="22"/>
  <c r="Q13" i="21"/>
  <c r="P4" i="23"/>
  <c r="P6" i="23" s="1"/>
  <c r="Q14" i="21"/>
  <c r="P7" i="23"/>
  <c r="P9" i="23" s="1"/>
  <c r="Q21" i="21"/>
  <c r="Q28" i="26"/>
  <c r="Q8" i="26"/>
  <c r="P14" i="25"/>
  <c r="P61" i="25" s="1"/>
  <c r="P11" i="25"/>
  <c r="Q239" i="29"/>
  <c r="Q240" i="29" s="1"/>
  <c r="Q241" i="29" s="1"/>
  <c r="V230" i="3"/>
  <c r="V234" i="3" s="1"/>
  <c r="O36" i="28" s="1"/>
  <c r="V14" i="3"/>
  <c r="P236" i="29"/>
  <c r="P233" i="29"/>
  <c r="P230" i="29"/>
  <c r="U228" i="3" s="1"/>
  <c r="U227" i="3" s="1"/>
  <c r="P225" i="29"/>
  <c r="U224" i="3" s="1"/>
  <c r="P224" i="29"/>
  <c r="P221" i="29"/>
  <c r="U221" i="3" s="1"/>
  <c r="P220" i="29"/>
  <c r="U220" i="3" s="1"/>
  <c r="P219" i="29"/>
  <c r="U219" i="3" s="1"/>
  <c r="P218" i="29"/>
  <c r="U218" i="3" s="1"/>
  <c r="P215" i="29"/>
  <c r="U217" i="3" s="1"/>
  <c r="P214" i="29"/>
  <c r="U216" i="3" s="1"/>
  <c r="P213" i="29"/>
  <c r="U215" i="3" s="1"/>
  <c r="P209" i="29"/>
  <c r="U213" i="3" s="1"/>
  <c r="P208" i="29"/>
  <c r="P207" i="29"/>
  <c r="P206" i="29"/>
  <c r="U210" i="3" s="1"/>
  <c r="P205" i="29"/>
  <c r="U209" i="3" s="1"/>
  <c r="P203" i="29"/>
  <c r="P201" i="29"/>
  <c r="U205" i="3" s="1"/>
  <c r="U233" i="3"/>
  <c r="U231" i="3"/>
  <c r="U225" i="3"/>
  <c r="U197" i="3"/>
  <c r="U196" i="3"/>
  <c r="U194" i="3"/>
  <c r="U193" i="3"/>
  <c r="U192" i="3"/>
  <c r="U190" i="3"/>
  <c r="U189" i="3"/>
  <c r="U188" i="3"/>
  <c r="U187" i="3"/>
  <c r="U186" i="3"/>
  <c r="O73" i="23" s="1"/>
  <c r="U185" i="3"/>
  <c r="O72" i="23" s="1"/>
  <c r="U184" i="3"/>
  <c r="O71" i="23" s="1"/>
  <c r="U183" i="3"/>
  <c r="U182" i="3"/>
  <c r="U181" i="3"/>
  <c r="U180" i="3"/>
  <c r="O70" i="23" s="1"/>
  <c r="U178" i="3"/>
  <c r="U177" i="3"/>
  <c r="U176" i="3"/>
  <c r="U175" i="3"/>
  <c r="U174" i="3"/>
  <c r="U173" i="3"/>
  <c r="U172" i="3"/>
  <c r="U171" i="3"/>
  <c r="U170" i="3"/>
  <c r="U169" i="3"/>
  <c r="U167" i="3"/>
  <c r="U166" i="3"/>
  <c r="U165" i="3"/>
  <c r="U164" i="3"/>
  <c r="U160" i="3"/>
  <c r="U159" i="3"/>
  <c r="U157" i="3"/>
  <c r="U156" i="3"/>
  <c r="U154" i="3"/>
  <c r="U153" i="3"/>
  <c r="U152" i="3"/>
  <c r="U151" i="3"/>
  <c r="U149" i="3"/>
  <c r="U148" i="3"/>
  <c r="U147" i="3"/>
  <c r="U140" i="3"/>
  <c r="U139" i="3"/>
  <c r="U138" i="3"/>
  <c r="U136" i="3"/>
  <c r="U135" i="3"/>
  <c r="U134" i="3"/>
  <c r="O69" i="23" s="1"/>
  <c r="U133" i="3"/>
  <c r="U131" i="3"/>
  <c r="U130" i="3"/>
  <c r="U129" i="3"/>
  <c r="O68" i="23" s="1"/>
  <c r="U128" i="3"/>
  <c r="U127" i="3"/>
  <c r="U126" i="3"/>
  <c r="U125" i="3"/>
  <c r="U124" i="3"/>
  <c r="U123" i="3"/>
  <c r="U121" i="3"/>
  <c r="U120" i="3"/>
  <c r="U119" i="3"/>
  <c r="U118" i="3"/>
  <c r="U117" i="3"/>
  <c r="U116" i="3"/>
  <c r="U115" i="3"/>
  <c r="U114" i="3"/>
  <c r="U112" i="3"/>
  <c r="U111" i="3"/>
  <c r="O67" i="23" s="1"/>
  <c r="U110" i="3"/>
  <c r="U109" i="3"/>
  <c r="O66" i="23" s="1"/>
  <c r="U108" i="3"/>
  <c r="O65" i="23" s="1"/>
  <c r="U107" i="3"/>
  <c r="U104" i="3"/>
  <c r="U103" i="3"/>
  <c r="U102" i="3"/>
  <c r="U101" i="3"/>
  <c r="U100" i="3"/>
  <c r="U99" i="3"/>
  <c r="U98" i="3"/>
  <c r="U96" i="3"/>
  <c r="U95" i="3"/>
  <c r="U94" i="3"/>
  <c r="U93" i="3"/>
  <c r="U92" i="3"/>
  <c r="U91" i="3"/>
  <c r="U90" i="3"/>
  <c r="U89" i="3"/>
  <c r="U88" i="3"/>
  <c r="U86" i="3"/>
  <c r="U85" i="3"/>
  <c r="U84" i="3"/>
  <c r="U83" i="3"/>
  <c r="U82" i="3"/>
  <c r="U81" i="3"/>
  <c r="U80" i="3"/>
  <c r="U79" i="3"/>
  <c r="U76" i="3"/>
  <c r="U62" i="3"/>
  <c r="U60" i="3"/>
  <c r="U59" i="3"/>
  <c r="U58" i="3"/>
  <c r="U57" i="3"/>
  <c r="U56" i="3"/>
  <c r="U54" i="3"/>
  <c r="U53" i="3"/>
  <c r="U50" i="3"/>
  <c r="U49" i="3"/>
  <c r="U48" i="3"/>
  <c r="U47" i="3"/>
  <c r="U46" i="3"/>
  <c r="U45" i="3"/>
  <c r="U44" i="3"/>
  <c r="U43" i="3"/>
  <c r="U42" i="3"/>
  <c r="U41" i="3"/>
  <c r="U40" i="3"/>
  <c r="U39" i="3"/>
  <c r="U38" i="3"/>
  <c r="U37" i="3"/>
  <c r="U36" i="3"/>
  <c r="U35" i="3"/>
  <c r="U34" i="3"/>
  <c r="U32" i="3"/>
  <c r="U31" i="3"/>
  <c r="U30" i="3"/>
  <c r="U29" i="3"/>
  <c r="U28" i="3"/>
  <c r="U27" i="3"/>
  <c r="U26" i="3"/>
  <c r="U24" i="3"/>
  <c r="U23" i="3"/>
  <c r="U21" i="3"/>
  <c r="U20" i="3"/>
  <c r="O52" i="22" s="1"/>
  <c r="U19" i="3"/>
  <c r="U18" i="3"/>
  <c r="U17" i="3"/>
  <c r="U16" i="3"/>
  <c r="U13" i="3"/>
  <c r="O50" i="22" s="1"/>
  <c r="U12" i="3"/>
  <c r="U10" i="3"/>
  <c r="U9" i="3"/>
  <c r="U8" i="3"/>
  <c r="U5" i="3"/>
  <c r="O48" i="22" s="1"/>
  <c r="U4" i="3"/>
  <c r="P9" i="25" l="1"/>
  <c r="Q14" i="22"/>
  <c r="Q5" i="22"/>
  <c r="Q18" i="22" s="1"/>
  <c r="Q13" i="22"/>
  <c r="S7" i="22"/>
  <c r="S20" i="22" s="1"/>
  <c r="S9" i="22"/>
  <c r="T9" i="21"/>
  <c r="S3" i="24"/>
  <c r="Y207" i="3"/>
  <c r="Y222" i="3" s="1"/>
  <c r="Y71" i="3"/>
  <c r="Y144" i="3"/>
  <c r="S4" i="25"/>
  <c r="S40" i="25" s="1"/>
  <c r="T3" i="21"/>
  <c r="S6" i="25"/>
  <c r="U25" i="3"/>
  <c r="O54" i="22" s="1"/>
  <c r="U52" i="3"/>
  <c r="O57" i="22" s="1"/>
  <c r="U158" i="3"/>
  <c r="W75" i="3"/>
  <c r="T24" i="21"/>
  <c r="U72" i="21" s="1"/>
  <c r="S10" i="22"/>
  <c r="S6" i="24"/>
  <c r="Q9" i="25"/>
  <c r="Q8" i="25"/>
  <c r="R6" i="23"/>
  <c r="R10" i="23" s="1"/>
  <c r="R13" i="23" s="1"/>
  <c r="R9" i="25"/>
  <c r="R8" i="25"/>
  <c r="R35" i="23"/>
  <c r="R36" i="23" s="1"/>
  <c r="X75" i="3"/>
  <c r="S23" i="26" s="1"/>
  <c r="S4" i="21"/>
  <c r="S27" i="26"/>
  <c r="R34" i="23"/>
  <c r="S36" i="26"/>
  <c r="R33" i="23"/>
  <c r="R32" i="23"/>
  <c r="S70" i="21"/>
  <c r="X55" i="3"/>
  <c r="X63" i="3" s="1"/>
  <c r="R6" i="22"/>
  <c r="R19" i="22" s="1"/>
  <c r="S8" i="21"/>
  <c r="S23" i="21" s="1"/>
  <c r="T71" i="21" s="1"/>
  <c r="R11" i="22"/>
  <c r="S69" i="21"/>
  <c r="R80" i="22" s="1"/>
  <c r="P8" i="25"/>
  <c r="Q7" i="25"/>
  <c r="R17" i="21"/>
  <c r="Q3" i="25"/>
  <c r="Q17" i="25" s="1"/>
  <c r="R9" i="26"/>
  <c r="R36" i="26"/>
  <c r="Q34" i="23"/>
  <c r="Q32" i="23"/>
  <c r="R27" i="26"/>
  <c r="Q33" i="23"/>
  <c r="Q10" i="25"/>
  <c r="R23" i="26"/>
  <c r="W200" i="3"/>
  <c r="R35" i="26"/>
  <c r="Q10" i="23"/>
  <c r="Q13" i="23" s="1"/>
  <c r="R5" i="26"/>
  <c r="R26" i="26"/>
  <c r="R33" i="26"/>
  <c r="W55" i="3"/>
  <c r="W63" i="3" s="1"/>
  <c r="R8" i="21"/>
  <c r="R23" i="21" s="1"/>
  <c r="Q6" i="22"/>
  <c r="Q19" i="22" s="1"/>
  <c r="Q11" i="22"/>
  <c r="R69" i="21"/>
  <c r="Q80" i="22" s="1"/>
  <c r="P10" i="23"/>
  <c r="P13" i="23" s="1"/>
  <c r="P13" i="22"/>
  <c r="P5" i="22"/>
  <c r="P18" i="22" s="1"/>
  <c r="P14" i="22"/>
  <c r="Q17" i="21"/>
  <c r="P7" i="25"/>
  <c r="P3" i="25"/>
  <c r="P17" i="25" s="1"/>
  <c r="Q26" i="26"/>
  <c r="Q5" i="26"/>
  <c r="Q33" i="26"/>
  <c r="P10" i="25"/>
  <c r="Q36" i="26"/>
  <c r="P34" i="23"/>
  <c r="Q27" i="26"/>
  <c r="P33" i="23"/>
  <c r="P32" i="23"/>
  <c r="V200" i="3"/>
  <c r="Q9" i="26"/>
  <c r="Q23" i="26"/>
  <c r="V33" i="3"/>
  <c r="Q7" i="21"/>
  <c r="Q22" i="21" s="1"/>
  <c r="R70" i="21" s="1"/>
  <c r="U22" i="3"/>
  <c r="U195" i="3"/>
  <c r="U137" i="3"/>
  <c r="P204" i="29"/>
  <c r="P211" i="29" s="1"/>
  <c r="O55" i="22"/>
  <c r="O53" i="22"/>
  <c r="U87" i="3"/>
  <c r="U106" i="3"/>
  <c r="O64" i="23"/>
  <c r="O56" i="22"/>
  <c r="O12" i="22"/>
  <c r="P212" i="29"/>
  <c r="O8" i="23"/>
  <c r="O74" i="23"/>
  <c r="O3" i="22"/>
  <c r="V3" i="22" s="1"/>
  <c r="O12" i="25"/>
  <c r="U11" i="3"/>
  <c r="O49" i="22"/>
  <c r="U97" i="3"/>
  <c r="U122" i="3"/>
  <c r="U168" i="3"/>
  <c r="P231" i="29"/>
  <c r="U230" i="3" s="1"/>
  <c r="U234" i="3" s="1"/>
  <c r="N36" i="28" s="1"/>
  <c r="U132" i="3"/>
  <c r="O5" i="23" s="1"/>
  <c r="U146" i="3"/>
  <c r="U191" i="3"/>
  <c r="P228" i="29"/>
  <c r="U51" i="3"/>
  <c r="U223" i="3"/>
  <c r="U226" i="3" s="1"/>
  <c r="N35" i="28" s="1"/>
  <c r="U6" i="3"/>
  <c r="U7" i="3"/>
  <c r="P5" i="21" s="1"/>
  <c r="U232" i="3"/>
  <c r="U212" i="3"/>
  <c r="U208" i="3" s="1"/>
  <c r="U15" i="3"/>
  <c r="O51" i="22" s="1"/>
  <c r="U78" i="3"/>
  <c r="U113" i="3"/>
  <c r="U179" i="3"/>
  <c r="U61" i="3"/>
  <c r="U150" i="3"/>
  <c r="U155" i="3"/>
  <c r="U163" i="3"/>
  <c r="U214" i="3"/>
  <c r="Y199" i="3" l="1"/>
  <c r="T15" i="26"/>
  <c r="T18" i="26"/>
  <c r="T14" i="26"/>
  <c r="S5" i="25"/>
  <c r="T16" i="26"/>
  <c r="T7" i="26"/>
  <c r="T6" i="26"/>
  <c r="T17" i="26"/>
  <c r="T24" i="26"/>
  <c r="S5" i="24"/>
  <c r="T25" i="26"/>
  <c r="T34" i="26"/>
  <c r="T37" i="26" s="1"/>
  <c r="T45" i="26" s="1"/>
  <c r="S4" i="24"/>
  <c r="S32" i="24" s="1"/>
  <c r="T18" i="21"/>
  <c r="Y235" i="3"/>
  <c r="R34" i="28"/>
  <c r="R3" i="28"/>
  <c r="S33" i="26"/>
  <c r="S5" i="26"/>
  <c r="R7" i="25"/>
  <c r="R3" i="25"/>
  <c r="R17" i="25" s="1"/>
  <c r="S17" i="21"/>
  <c r="S26" i="26"/>
  <c r="X200" i="3"/>
  <c r="S9" i="26"/>
  <c r="S35" i="26"/>
  <c r="R10" i="25"/>
  <c r="S10" i="21"/>
  <c r="R8" i="22"/>
  <c r="R21" i="22" s="1"/>
  <c r="S15" i="21"/>
  <c r="X69" i="3"/>
  <c r="X161" i="3"/>
  <c r="X145" i="3" s="1"/>
  <c r="X64" i="3"/>
  <c r="S71" i="21"/>
  <c r="P217" i="29"/>
  <c r="P222" i="29" s="1"/>
  <c r="R15" i="21"/>
  <c r="R10" i="21"/>
  <c r="Q8" i="22"/>
  <c r="Q21" i="22" s="1"/>
  <c r="W69" i="3"/>
  <c r="W161" i="3"/>
  <c r="W145" i="3" s="1"/>
  <c r="W64" i="3"/>
  <c r="P6" i="22"/>
  <c r="P19" i="22" s="1"/>
  <c r="P11" i="22"/>
  <c r="P28" i="26"/>
  <c r="P8" i="26"/>
  <c r="V55" i="3"/>
  <c r="V63" i="3" s="1"/>
  <c r="P8" i="22" s="1"/>
  <c r="P21" i="22" s="1"/>
  <c r="Q8" i="21"/>
  <c r="Q23" i="21" s="1"/>
  <c r="R71" i="21" s="1"/>
  <c r="U105" i="3"/>
  <c r="O8" i="25" s="1"/>
  <c r="O58" i="22"/>
  <c r="P21" i="21"/>
  <c r="Q69" i="21" s="1"/>
  <c r="P80" i="22" s="1"/>
  <c r="O14" i="25"/>
  <c r="O61" i="25" s="1"/>
  <c r="O4" i="22"/>
  <c r="O17" i="22" s="1"/>
  <c r="P6" i="21"/>
  <c r="O44" i="22"/>
  <c r="O43" i="22"/>
  <c r="O7" i="23"/>
  <c r="O9" i="23" s="1"/>
  <c r="P14" i="21"/>
  <c r="O45" i="22"/>
  <c r="O4" i="23"/>
  <c r="P13" i="21"/>
  <c r="U77" i="3"/>
  <c r="O11" i="25"/>
  <c r="O3" i="23"/>
  <c r="O42" i="22"/>
  <c r="P239" i="29"/>
  <c r="U14" i="3"/>
  <c r="U162" i="3"/>
  <c r="N87" i="22"/>
  <c r="O81" i="22" s="1"/>
  <c r="M87" i="22"/>
  <c r="O6" i="23" l="1"/>
  <c r="T19" i="26"/>
  <c r="T43" i="26" s="1"/>
  <c r="R9" i="28"/>
  <c r="R6" i="28"/>
  <c r="R13" i="28" s="1"/>
  <c r="R7" i="28"/>
  <c r="R14" i="28" s="1"/>
  <c r="R8" i="28"/>
  <c r="R5" i="28"/>
  <c r="R12" i="28" s="1"/>
  <c r="T12" i="21"/>
  <c r="Y238" i="3"/>
  <c r="Y236" i="3"/>
  <c r="T11" i="21" s="1"/>
  <c r="T4" i="26" s="1"/>
  <c r="T10" i="26" s="1"/>
  <c r="T42" i="26" s="1"/>
  <c r="T29" i="26"/>
  <c r="T44" i="26" s="1"/>
  <c r="X144" i="3"/>
  <c r="R6" i="25"/>
  <c r="R4" i="25"/>
  <c r="R40" i="25" s="1"/>
  <c r="S3" i="21"/>
  <c r="R9" i="22"/>
  <c r="S9" i="21"/>
  <c r="R3" i="24"/>
  <c r="R7" i="22"/>
  <c r="R20" i="22" s="1"/>
  <c r="X71" i="3"/>
  <c r="X207" i="3"/>
  <c r="X222" i="3" s="1"/>
  <c r="S24" i="21"/>
  <c r="T72" i="21" s="1"/>
  <c r="R6" i="24"/>
  <c r="R7" i="24"/>
  <c r="R10" i="22"/>
  <c r="P240" i="29"/>
  <c r="P241" i="29" s="1"/>
  <c r="O35" i="23"/>
  <c r="O10" i="25" s="1"/>
  <c r="O9" i="25"/>
  <c r="Q7" i="22"/>
  <c r="Q20" i="22" s="1"/>
  <c r="Q3" i="24"/>
  <c r="R9" i="21"/>
  <c r="Q9" i="22"/>
  <c r="W207" i="3"/>
  <c r="W222" i="3" s="1"/>
  <c r="W71" i="3"/>
  <c r="R24" i="21"/>
  <c r="Q6" i="24"/>
  <c r="Q7" i="24"/>
  <c r="Q10" i="22"/>
  <c r="W144" i="3"/>
  <c r="R3" i="21"/>
  <c r="Q6" i="25"/>
  <c r="Q4" i="25"/>
  <c r="Q40" i="25" s="1"/>
  <c r="P4" i="21"/>
  <c r="P27" i="26"/>
  <c r="P36" i="26"/>
  <c r="Q15" i="21"/>
  <c r="Q10" i="21"/>
  <c r="V69" i="3"/>
  <c r="V161" i="3"/>
  <c r="V145" i="3" s="1"/>
  <c r="V64" i="3"/>
  <c r="O10" i="23"/>
  <c r="O13" i="23" s="1"/>
  <c r="O33" i="23"/>
  <c r="O34" i="23"/>
  <c r="O32" i="23"/>
  <c r="U75" i="3"/>
  <c r="P33" i="26" s="1"/>
  <c r="N81" i="22"/>
  <c r="U33" i="3"/>
  <c r="O13" i="22"/>
  <c r="O5" i="22"/>
  <c r="O18" i="22" s="1"/>
  <c r="P7" i="21"/>
  <c r="P22" i="21" s="1"/>
  <c r="Q70" i="21" s="1"/>
  <c r="O14" i="22"/>
  <c r="N201" i="29"/>
  <c r="S205" i="3" s="1"/>
  <c r="T233" i="3"/>
  <c r="T231" i="3"/>
  <c r="T225" i="3"/>
  <c r="T197" i="3"/>
  <c r="T196" i="3"/>
  <c r="T194" i="3"/>
  <c r="T193" i="3"/>
  <c r="T192" i="3"/>
  <c r="T190" i="3"/>
  <c r="T189" i="3"/>
  <c r="T188" i="3"/>
  <c r="T187" i="3"/>
  <c r="T186" i="3"/>
  <c r="N73" i="23" s="1"/>
  <c r="T185" i="3"/>
  <c r="N72" i="23" s="1"/>
  <c r="T184" i="3"/>
  <c r="N71" i="23" s="1"/>
  <c r="T183" i="3"/>
  <c r="T182" i="3"/>
  <c r="T181" i="3"/>
  <c r="T180" i="3"/>
  <c r="N70" i="23" s="1"/>
  <c r="T178" i="3"/>
  <c r="T177" i="3"/>
  <c r="T176" i="3"/>
  <c r="T175" i="3"/>
  <c r="T174" i="3"/>
  <c r="T173" i="3"/>
  <c r="T172" i="3"/>
  <c r="T171" i="3"/>
  <c r="T170" i="3"/>
  <c r="T169" i="3"/>
  <c r="T167" i="3"/>
  <c r="T166" i="3"/>
  <c r="T165" i="3"/>
  <c r="T164" i="3"/>
  <c r="T160" i="3"/>
  <c r="T159" i="3"/>
  <c r="T157" i="3"/>
  <c r="T156" i="3"/>
  <c r="T154" i="3"/>
  <c r="T153" i="3"/>
  <c r="T152" i="3"/>
  <c r="T151" i="3"/>
  <c r="T149" i="3"/>
  <c r="T148" i="3"/>
  <c r="T147" i="3"/>
  <c r="T140" i="3"/>
  <c r="T139" i="3"/>
  <c r="T138" i="3"/>
  <c r="T136" i="3"/>
  <c r="T135" i="3"/>
  <c r="T134" i="3"/>
  <c r="N69" i="23" s="1"/>
  <c r="T133" i="3"/>
  <c r="T131" i="3"/>
  <c r="T130" i="3"/>
  <c r="T129" i="3"/>
  <c r="N68" i="23" s="1"/>
  <c r="T128" i="3"/>
  <c r="T127" i="3"/>
  <c r="T126" i="3"/>
  <c r="T125" i="3"/>
  <c r="T124" i="3"/>
  <c r="T123" i="3"/>
  <c r="T121" i="3"/>
  <c r="T120" i="3"/>
  <c r="T119" i="3"/>
  <c r="T118" i="3"/>
  <c r="T117" i="3"/>
  <c r="T116" i="3"/>
  <c r="T115" i="3"/>
  <c r="T114" i="3"/>
  <c r="T112" i="3"/>
  <c r="T111" i="3"/>
  <c r="N67" i="23" s="1"/>
  <c r="T110" i="3"/>
  <c r="T109" i="3"/>
  <c r="N66" i="23" s="1"/>
  <c r="T108" i="3"/>
  <c r="N65" i="23" s="1"/>
  <c r="T107" i="3"/>
  <c r="N64" i="23" s="1"/>
  <c r="T104" i="3"/>
  <c r="T103" i="3"/>
  <c r="T102" i="3"/>
  <c r="T101" i="3"/>
  <c r="T100" i="3"/>
  <c r="T99" i="3"/>
  <c r="T98" i="3"/>
  <c r="T96" i="3"/>
  <c r="T95" i="3"/>
  <c r="T94" i="3"/>
  <c r="T93" i="3"/>
  <c r="T92" i="3"/>
  <c r="T91" i="3"/>
  <c r="T90" i="3"/>
  <c r="T89" i="3"/>
  <c r="T88" i="3"/>
  <c r="T86" i="3"/>
  <c r="T85" i="3"/>
  <c r="T84" i="3"/>
  <c r="T83" i="3"/>
  <c r="T82" i="3"/>
  <c r="T81" i="3"/>
  <c r="T80" i="3"/>
  <c r="T79" i="3"/>
  <c r="T76" i="3"/>
  <c r="T62" i="3"/>
  <c r="T60" i="3"/>
  <c r="T59" i="3"/>
  <c r="T58" i="3"/>
  <c r="T57" i="3"/>
  <c r="T56" i="3"/>
  <c r="T54" i="3"/>
  <c r="T53" i="3"/>
  <c r="T50" i="3"/>
  <c r="T49" i="3"/>
  <c r="T48" i="3"/>
  <c r="T47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2" i="3"/>
  <c r="T31" i="3"/>
  <c r="T30" i="3"/>
  <c r="T29" i="3"/>
  <c r="T28" i="3"/>
  <c r="T27" i="3"/>
  <c r="T26" i="3"/>
  <c r="T24" i="3"/>
  <c r="T23" i="3"/>
  <c r="T21" i="3"/>
  <c r="N53" i="22" s="1"/>
  <c r="T20" i="3"/>
  <c r="N52" i="22" s="1"/>
  <c r="T19" i="3"/>
  <c r="T18" i="3"/>
  <c r="T17" i="3"/>
  <c r="T16" i="3"/>
  <c r="T13" i="3"/>
  <c r="N50" i="22" s="1"/>
  <c r="T12" i="3"/>
  <c r="T10" i="3"/>
  <c r="T9" i="3"/>
  <c r="T8" i="3"/>
  <c r="T5" i="3"/>
  <c r="N48" i="22" s="1"/>
  <c r="T4" i="3"/>
  <c r="S233" i="3"/>
  <c r="S231" i="3"/>
  <c r="S225" i="3"/>
  <c r="S197" i="3"/>
  <c r="S196" i="3"/>
  <c r="S194" i="3"/>
  <c r="S193" i="3"/>
  <c r="S192" i="3"/>
  <c r="S190" i="3"/>
  <c r="S189" i="3"/>
  <c r="S188" i="3"/>
  <c r="S187" i="3"/>
  <c r="S186" i="3"/>
  <c r="M73" i="23" s="1"/>
  <c r="S185" i="3"/>
  <c r="M72" i="23" s="1"/>
  <c r="S184" i="3"/>
  <c r="M71" i="23" s="1"/>
  <c r="S183" i="3"/>
  <c r="S182" i="3"/>
  <c r="S181" i="3"/>
  <c r="S180" i="3"/>
  <c r="M70" i="23" s="1"/>
  <c r="S178" i="3"/>
  <c r="S177" i="3"/>
  <c r="S176" i="3"/>
  <c r="S175" i="3"/>
  <c r="S174" i="3"/>
  <c r="S173" i="3"/>
  <c r="S172" i="3"/>
  <c r="S171" i="3"/>
  <c r="S170" i="3"/>
  <c r="S169" i="3"/>
  <c r="S167" i="3"/>
  <c r="S166" i="3"/>
  <c r="S165" i="3"/>
  <c r="S164" i="3"/>
  <c r="S160" i="3"/>
  <c r="S159" i="3"/>
  <c r="S157" i="3"/>
  <c r="S156" i="3"/>
  <c r="S154" i="3"/>
  <c r="S153" i="3"/>
  <c r="S152" i="3"/>
  <c r="S151" i="3"/>
  <c r="S149" i="3"/>
  <c r="S148" i="3"/>
  <c r="S147" i="3"/>
  <c r="S140" i="3"/>
  <c r="S139" i="3"/>
  <c r="S138" i="3"/>
  <c r="S136" i="3"/>
  <c r="S135" i="3"/>
  <c r="S134" i="3"/>
  <c r="M69" i="23" s="1"/>
  <c r="S133" i="3"/>
  <c r="S131" i="3"/>
  <c r="S130" i="3"/>
  <c r="S129" i="3"/>
  <c r="M68" i="23" s="1"/>
  <c r="S128" i="3"/>
  <c r="S127" i="3"/>
  <c r="S126" i="3"/>
  <c r="S125" i="3"/>
  <c r="S124" i="3"/>
  <c r="S123" i="3"/>
  <c r="S121" i="3"/>
  <c r="S120" i="3"/>
  <c r="S119" i="3"/>
  <c r="S118" i="3"/>
  <c r="S117" i="3"/>
  <c r="S116" i="3"/>
  <c r="S115" i="3"/>
  <c r="S114" i="3"/>
  <c r="S112" i="3"/>
  <c r="S111" i="3"/>
  <c r="M67" i="23" s="1"/>
  <c r="S110" i="3"/>
  <c r="S109" i="3"/>
  <c r="M66" i="23" s="1"/>
  <c r="S108" i="3"/>
  <c r="S107" i="3"/>
  <c r="M64" i="23" s="1"/>
  <c r="S104" i="3"/>
  <c r="S103" i="3"/>
  <c r="S102" i="3"/>
  <c r="S101" i="3"/>
  <c r="S100" i="3"/>
  <c r="S99" i="3"/>
  <c r="S98" i="3"/>
  <c r="S96" i="3"/>
  <c r="S95" i="3"/>
  <c r="S94" i="3"/>
  <c r="S93" i="3"/>
  <c r="S92" i="3"/>
  <c r="S91" i="3"/>
  <c r="S90" i="3"/>
  <c r="S89" i="3"/>
  <c r="S88" i="3"/>
  <c r="S86" i="3"/>
  <c r="S85" i="3"/>
  <c r="S84" i="3"/>
  <c r="S83" i="3"/>
  <c r="S82" i="3"/>
  <c r="S81" i="3"/>
  <c r="S80" i="3"/>
  <c r="S79" i="3"/>
  <c r="S76" i="3"/>
  <c r="S62" i="3"/>
  <c r="S60" i="3"/>
  <c r="S59" i="3"/>
  <c r="S58" i="3"/>
  <c r="S57" i="3"/>
  <c r="S56" i="3"/>
  <c r="S54" i="3"/>
  <c r="S53" i="3"/>
  <c r="S50" i="3"/>
  <c r="S49" i="3"/>
  <c r="S48" i="3"/>
  <c r="S47" i="3"/>
  <c r="S46" i="3"/>
  <c r="S45" i="3"/>
  <c r="S44" i="3"/>
  <c r="S43" i="3"/>
  <c r="S42" i="3"/>
  <c r="S41" i="3"/>
  <c r="S40" i="3"/>
  <c r="S39" i="3"/>
  <c r="S38" i="3"/>
  <c r="S37" i="3"/>
  <c r="S36" i="3"/>
  <c r="S35" i="3"/>
  <c r="S34" i="3"/>
  <c r="S32" i="3"/>
  <c r="S31" i="3"/>
  <c r="S30" i="3"/>
  <c r="S29" i="3"/>
  <c r="S28" i="3"/>
  <c r="S27" i="3"/>
  <c r="S26" i="3"/>
  <c r="S24" i="3"/>
  <c r="S23" i="3"/>
  <c r="S21" i="3"/>
  <c r="M53" i="22" s="1"/>
  <c r="S20" i="3"/>
  <c r="M52" i="22" s="1"/>
  <c r="S19" i="3"/>
  <c r="S18" i="3"/>
  <c r="S17" i="3"/>
  <c r="S16" i="3"/>
  <c r="S13" i="3"/>
  <c r="S12" i="3"/>
  <c r="S10" i="3"/>
  <c r="S9" i="3"/>
  <c r="S8" i="3"/>
  <c r="S5" i="3"/>
  <c r="S4" i="3"/>
  <c r="P5" i="26" l="1"/>
  <c r="O36" i="23"/>
  <c r="S18" i="21"/>
  <c r="R4" i="24"/>
  <c r="R32" i="24" s="1"/>
  <c r="S72" i="21"/>
  <c r="X235" i="3"/>
  <c r="Q34" i="28"/>
  <c r="Q3" i="28"/>
  <c r="S6" i="26"/>
  <c r="S7" i="26"/>
  <c r="S25" i="26"/>
  <c r="R5" i="24"/>
  <c r="S34" i="26"/>
  <c r="S37" i="26" s="1"/>
  <c r="S45" i="26" s="1"/>
  <c r="S17" i="26"/>
  <c r="S24" i="26"/>
  <c r="S29" i="26" s="1"/>
  <c r="S44" i="26" s="1"/>
  <c r="X199" i="3"/>
  <c r="S15" i="26"/>
  <c r="S18" i="26"/>
  <c r="S14" i="26"/>
  <c r="R5" i="25"/>
  <c r="S16" i="26"/>
  <c r="T155" i="3"/>
  <c r="T195" i="3"/>
  <c r="Q4" i="24"/>
  <c r="Q32" i="24" s="1"/>
  <c r="R18" i="21"/>
  <c r="Q5" i="24"/>
  <c r="R17" i="26"/>
  <c r="R25" i="26"/>
  <c r="R34" i="26"/>
  <c r="R37" i="26" s="1"/>
  <c r="R45" i="26" s="1"/>
  <c r="R24" i="26"/>
  <c r="W199" i="3"/>
  <c r="R18" i="26"/>
  <c r="R14" i="26"/>
  <c r="Q5" i="25"/>
  <c r="R15" i="26"/>
  <c r="R16" i="26"/>
  <c r="R6" i="26"/>
  <c r="R7" i="26"/>
  <c r="W235" i="3"/>
  <c r="P34" i="28"/>
  <c r="P3" i="28"/>
  <c r="S155" i="3"/>
  <c r="T137" i="3"/>
  <c r="P23" i="26"/>
  <c r="P35" i="26"/>
  <c r="P9" i="26"/>
  <c r="P26" i="26"/>
  <c r="P9" i="22"/>
  <c r="P7" i="22"/>
  <c r="P20" i="22" s="1"/>
  <c r="P3" i="24"/>
  <c r="P4" i="25"/>
  <c r="P40" i="25" s="1"/>
  <c r="P6" i="25"/>
  <c r="Q24" i="21"/>
  <c r="R72" i="21" s="1"/>
  <c r="P7" i="24"/>
  <c r="P10" i="22"/>
  <c r="P6" i="24"/>
  <c r="Q9" i="21"/>
  <c r="V71" i="3"/>
  <c r="V207" i="3"/>
  <c r="V222" i="3" s="1"/>
  <c r="V144" i="3"/>
  <c r="Q3" i="21"/>
  <c r="U200" i="3"/>
  <c r="O7" i="25"/>
  <c r="O3" i="25"/>
  <c r="O17" i="25" s="1"/>
  <c r="P17" i="21"/>
  <c r="U55" i="3"/>
  <c r="U63" i="3" s="1"/>
  <c r="O6" i="22"/>
  <c r="O19" i="22" s="1"/>
  <c r="P8" i="21"/>
  <c r="P23" i="21" s="1"/>
  <c r="Q71" i="21" s="1"/>
  <c r="O11" i="22"/>
  <c r="S25" i="3"/>
  <c r="M54" i="22" s="1"/>
  <c r="S158" i="3"/>
  <c r="T22" i="3"/>
  <c r="S132" i="3"/>
  <c r="M5" i="23" s="1"/>
  <c r="S15" i="3"/>
  <c r="M51" i="22" s="1"/>
  <c r="S22" i="3"/>
  <c r="S195" i="3"/>
  <c r="T7" i="3"/>
  <c r="O5" i="21" s="1"/>
  <c r="T52" i="3"/>
  <c r="N57" i="22" s="1"/>
  <c r="T179" i="3"/>
  <c r="N7" i="23" s="1"/>
  <c r="S137" i="3"/>
  <c r="S150" i="3"/>
  <c r="S179" i="3"/>
  <c r="M7" i="23" s="1"/>
  <c r="T11" i="3"/>
  <c r="T163" i="3"/>
  <c r="S51" i="3"/>
  <c r="S146" i="3"/>
  <c r="T51" i="3"/>
  <c r="N56" i="22"/>
  <c r="T113" i="3"/>
  <c r="M3" i="22"/>
  <c r="M45" i="22" s="1"/>
  <c r="M12" i="25"/>
  <c r="N74" i="23"/>
  <c r="N8" i="23"/>
  <c r="S6" i="3"/>
  <c r="M48" i="22"/>
  <c r="M49" i="22"/>
  <c r="M55" i="22"/>
  <c r="S52" i="3"/>
  <c r="M57" i="22" s="1"/>
  <c r="S97" i="3"/>
  <c r="S122" i="3"/>
  <c r="S168" i="3"/>
  <c r="M12" i="22"/>
  <c r="T6" i="3"/>
  <c r="T25" i="3"/>
  <c r="N54" i="22" s="1"/>
  <c r="N55" i="22"/>
  <c r="N12" i="22"/>
  <c r="S11" i="3"/>
  <c r="M50" i="22"/>
  <c r="S87" i="3"/>
  <c r="S113" i="3"/>
  <c r="S163" i="3"/>
  <c r="M74" i="23"/>
  <c r="M8" i="23"/>
  <c r="N49" i="22"/>
  <c r="T15" i="3"/>
  <c r="T168" i="3"/>
  <c r="T191" i="3"/>
  <c r="M43" i="22"/>
  <c r="S61" i="3"/>
  <c r="M56" i="22"/>
  <c r="S7" i="3"/>
  <c r="N5" i="21" s="1"/>
  <c r="S78" i="3"/>
  <c r="S106" i="3"/>
  <c r="M65" i="23"/>
  <c r="S191" i="3"/>
  <c r="N12" i="25"/>
  <c r="N3" i="22"/>
  <c r="N42" i="22" s="1"/>
  <c r="T61" i="3"/>
  <c r="T97" i="3"/>
  <c r="T150" i="3"/>
  <c r="T87" i="3"/>
  <c r="T132" i="3"/>
  <c r="N5" i="23" s="1"/>
  <c r="T146" i="3"/>
  <c r="T78" i="3"/>
  <c r="T122" i="3"/>
  <c r="T106" i="3"/>
  <c r="T158" i="3"/>
  <c r="O201" i="29"/>
  <c r="T205" i="3" s="1"/>
  <c r="M201" i="29"/>
  <c r="S19" i="26" l="1"/>
  <c r="S43" i="26" s="1"/>
  <c r="Q9" i="28"/>
  <c r="Q6" i="28"/>
  <c r="Q13" i="28" s="1"/>
  <c r="Q7" i="28"/>
  <c r="Q14" i="28" s="1"/>
  <c r="Q8" i="28"/>
  <c r="Q5" i="28"/>
  <c r="Q12" i="28" s="1"/>
  <c r="S12" i="21"/>
  <c r="X236" i="3"/>
  <c r="S11" i="21" s="1"/>
  <c r="S4" i="26" s="1"/>
  <c r="S10" i="26" s="1"/>
  <c r="S42" i="26" s="1"/>
  <c r="X238" i="3"/>
  <c r="R29" i="26"/>
  <c r="R44" i="26" s="1"/>
  <c r="R19" i="26"/>
  <c r="R43" i="26" s="1"/>
  <c r="P9" i="28"/>
  <c r="P6" i="28"/>
  <c r="P13" i="28" s="1"/>
  <c r="P7" i="28"/>
  <c r="P14" i="28" s="1"/>
  <c r="P8" i="28"/>
  <c r="P5" i="28"/>
  <c r="P12" i="28" s="1"/>
  <c r="R12" i="21"/>
  <c r="W238" i="3"/>
  <c r="W236" i="3"/>
  <c r="R11" i="21" s="1"/>
  <c r="R4" i="26" s="1"/>
  <c r="R10" i="26" s="1"/>
  <c r="R42" i="26" s="1"/>
  <c r="Q24" i="26"/>
  <c r="P5" i="24"/>
  <c r="Q17" i="26"/>
  <c r="Q25" i="26"/>
  <c r="Q34" i="26"/>
  <c r="Q37" i="26" s="1"/>
  <c r="Q45" i="26" s="1"/>
  <c r="V199" i="3"/>
  <c r="Q18" i="26"/>
  <c r="Q15" i="26"/>
  <c r="Q14" i="26"/>
  <c r="P5" i="25"/>
  <c r="Q16" i="26"/>
  <c r="V235" i="3"/>
  <c r="V238" i="3" s="1"/>
  <c r="O34" i="28"/>
  <c r="O3" i="28"/>
  <c r="N28" i="26"/>
  <c r="N8" i="26"/>
  <c r="Q18" i="21"/>
  <c r="P4" i="24"/>
  <c r="P32" i="24" s="1"/>
  <c r="O28" i="26"/>
  <c r="O8" i="26"/>
  <c r="Q6" i="26"/>
  <c r="Q7" i="26"/>
  <c r="U161" i="3"/>
  <c r="U145" i="3" s="1"/>
  <c r="O8" i="22"/>
  <c r="O21" i="22" s="1"/>
  <c r="P15" i="21"/>
  <c r="P10" i="21"/>
  <c r="U69" i="3"/>
  <c r="U64" i="3"/>
  <c r="T105" i="3"/>
  <c r="N9" i="25" s="1"/>
  <c r="N14" i="21"/>
  <c r="S162" i="3"/>
  <c r="M9" i="23"/>
  <c r="M44" i="22"/>
  <c r="S77" i="3"/>
  <c r="T14" i="3"/>
  <c r="N13" i="22" s="1"/>
  <c r="N14" i="25"/>
  <c r="N61" i="25" s="1"/>
  <c r="O21" i="21"/>
  <c r="P69" i="21" s="1"/>
  <c r="O80" i="22" s="1"/>
  <c r="O14" i="21"/>
  <c r="T162" i="3"/>
  <c r="M42" i="22"/>
  <c r="N21" i="21"/>
  <c r="M14" i="25"/>
  <c r="M61" i="25" s="1"/>
  <c r="M4" i="22"/>
  <c r="M17" i="22" s="1"/>
  <c r="N6" i="21"/>
  <c r="N4" i="22"/>
  <c r="N17" i="22" s="1"/>
  <c r="O6" i="21"/>
  <c r="M4" i="23"/>
  <c r="N13" i="21"/>
  <c r="N9" i="23"/>
  <c r="M32" i="23"/>
  <c r="S14" i="3"/>
  <c r="N3" i="23"/>
  <c r="N11" i="25"/>
  <c r="S105" i="3"/>
  <c r="M11" i="25"/>
  <c r="M3" i="23"/>
  <c r="N45" i="22"/>
  <c r="N43" i="22"/>
  <c r="N4" i="23"/>
  <c r="O13" i="21"/>
  <c r="N51" i="22"/>
  <c r="N58" i="22" s="1"/>
  <c r="N44" i="22"/>
  <c r="M58" i="22"/>
  <c r="T77" i="3"/>
  <c r="M203" i="29"/>
  <c r="N203" i="29"/>
  <c r="O203" i="29"/>
  <c r="M205" i="29"/>
  <c r="N205" i="29"/>
  <c r="S209" i="3" s="1"/>
  <c r="O205" i="29"/>
  <c r="T209" i="3" s="1"/>
  <c r="M206" i="29"/>
  <c r="R210" i="3" s="1"/>
  <c r="N206" i="29"/>
  <c r="S210" i="3" s="1"/>
  <c r="O206" i="29"/>
  <c r="T210" i="3" s="1"/>
  <c r="M207" i="29"/>
  <c r="R212" i="3" s="1"/>
  <c r="N207" i="29"/>
  <c r="S212" i="3" s="1"/>
  <c r="O207" i="29"/>
  <c r="T212" i="3" s="1"/>
  <c r="M208" i="29"/>
  <c r="N208" i="29"/>
  <c r="O208" i="29"/>
  <c r="M209" i="29"/>
  <c r="R213" i="3" s="1"/>
  <c r="N209" i="29"/>
  <c r="S213" i="3" s="1"/>
  <c r="O209" i="29"/>
  <c r="T213" i="3" s="1"/>
  <c r="M213" i="29"/>
  <c r="N213" i="29"/>
  <c r="S215" i="3" s="1"/>
  <c r="O213" i="29"/>
  <c r="T215" i="3" s="1"/>
  <c r="M214" i="29"/>
  <c r="R216" i="3" s="1"/>
  <c r="N214" i="29"/>
  <c r="S216" i="3" s="1"/>
  <c r="O214" i="29"/>
  <c r="T216" i="3" s="1"/>
  <c r="M215" i="29"/>
  <c r="R217" i="3" s="1"/>
  <c r="N215" i="29"/>
  <c r="S217" i="3" s="1"/>
  <c r="O215" i="29"/>
  <c r="T217" i="3" s="1"/>
  <c r="M218" i="29"/>
  <c r="R218" i="3" s="1"/>
  <c r="N218" i="29"/>
  <c r="S218" i="3" s="1"/>
  <c r="O218" i="29"/>
  <c r="T218" i="3" s="1"/>
  <c r="M219" i="29"/>
  <c r="R219" i="3" s="1"/>
  <c r="N219" i="29"/>
  <c r="S219" i="3" s="1"/>
  <c r="O219" i="29"/>
  <c r="T219" i="3" s="1"/>
  <c r="M220" i="29"/>
  <c r="R220" i="3" s="1"/>
  <c r="N220" i="29"/>
  <c r="S220" i="3" s="1"/>
  <c r="O220" i="29"/>
  <c r="T220" i="3" s="1"/>
  <c r="M221" i="29"/>
  <c r="R221" i="3" s="1"/>
  <c r="N221" i="29"/>
  <c r="S221" i="3" s="1"/>
  <c r="O221" i="29"/>
  <c r="T221" i="3" s="1"/>
  <c r="O236" i="29"/>
  <c r="N236" i="29"/>
  <c r="O233" i="29"/>
  <c r="T232" i="3" s="1"/>
  <c r="N233" i="29"/>
  <c r="O230" i="29"/>
  <c r="T228" i="3" s="1"/>
  <c r="T227" i="3" s="1"/>
  <c r="N230" i="29"/>
  <c r="S228" i="3" s="1"/>
  <c r="S227" i="3" s="1"/>
  <c r="O225" i="29"/>
  <c r="T224" i="3" s="1"/>
  <c r="N225" i="29"/>
  <c r="S224" i="3" s="1"/>
  <c r="O224" i="29"/>
  <c r="T223" i="3" s="1"/>
  <c r="N224" i="29"/>
  <c r="S223" i="3" s="1"/>
  <c r="L87" i="22"/>
  <c r="R233" i="3"/>
  <c r="R231" i="3"/>
  <c r="R225" i="3"/>
  <c r="R197" i="3"/>
  <c r="R196" i="3"/>
  <c r="R194" i="3"/>
  <c r="R193" i="3"/>
  <c r="L74" i="23" s="1"/>
  <c r="R192" i="3"/>
  <c r="R190" i="3"/>
  <c r="R189" i="3"/>
  <c r="R188" i="3"/>
  <c r="R187" i="3"/>
  <c r="R186" i="3"/>
  <c r="L73" i="23" s="1"/>
  <c r="R185" i="3"/>
  <c r="L72" i="23" s="1"/>
  <c r="R184" i="3"/>
  <c r="L71" i="23" s="1"/>
  <c r="R183" i="3"/>
  <c r="R182" i="3"/>
  <c r="R181" i="3"/>
  <c r="R180" i="3"/>
  <c r="L70" i="23" s="1"/>
  <c r="R178" i="3"/>
  <c r="R177" i="3"/>
  <c r="R176" i="3"/>
  <c r="R175" i="3"/>
  <c r="R174" i="3"/>
  <c r="R173" i="3"/>
  <c r="R172" i="3"/>
  <c r="R171" i="3"/>
  <c r="R170" i="3"/>
  <c r="R169" i="3"/>
  <c r="R167" i="3"/>
  <c r="R166" i="3"/>
  <c r="R165" i="3"/>
  <c r="R164" i="3"/>
  <c r="R160" i="3"/>
  <c r="R159" i="3"/>
  <c r="R157" i="3"/>
  <c r="R156" i="3"/>
  <c r="R154" i="3"/>
  <c r="R153" i="3"/>
  <c r="R152" i="3"/>
  <c r="R151" i="3"/>
  <c r="R149" i="3"/>
  <c r="R148" i="3"/>
  <c r="R147" i="3"/>
  <c r="R140" i="3"/>
  <c r="R139" i="3"/>
  <c r="R138" i="3"/>
  <c r="R136" i="3"/>
  <c r="R135" i="3"/>
  <c r="R134" i="3"/>
  <c r="L69" i="23" s="1"/>
  <c r="R133" i="3"/>
  <c r="R131" i="3"/>
  <c r="R130" i="3"/>
  <c r="R129" i="3"/>
  <c r="L68" i="23" s="1"/>
  <c r="R128" i="3"/>
  <c r="R127" i="3"/>
  <c r="R126" i="3"/>
  <c r="R125" i="3"/>
  <c r="R124" i="3"/>
  <c r="R123" i="3"/>
  <c r="R121" i="3"/>
  <c r="R120" i="3"/>
  <c r="R119" i="3"/>
  <c r="R118" i="3"/>
  <c r="R117" i="3"/>
  <c r="R116" i="3"/>
  <c r="R115" i="3"/>
  <c r="R114" i="3"/>
  <c r="R112" i="3"/>
  <c r="R111" i="3"/>
  <c r="L67" i="23" s="1"/>
  <c r="R110" i="3"/>
  <c r="R109" i="3"/>
  <c r="L66" i="23" s="1"/>
  <c r="R108" i="3"/>
  <c r="L65" i="23" s="1"/>
  <c r="R107" i="3"/>
  <c r="L64" i="23" s="1"/>
  <c r="R104" i="3"/>
  <c r="R103" i="3"/>
  <c r="R102" i="3"/>
  <c r="R101" i="3"/>
  <c r="R100" i="3"/>
  <c r="R99" i="3"/>
  <c r="R98" i="3"/>
  <c r="R96" i="3"/>
  <c r="R95" i="3"/>
  <c r="R94" i="3"/>
  <c r="R93" i="3"/>
  <c r="R92" i="3"/>
  <c r="R91" i="3"/>
  <c r="R90" i="3"/>
  <c r="R89" i="3"/>
  <c r="R88" i="3"/>
  <c r="R86" i="3"/>
  <c r="R85" i="3"/>
  <c r="R84" i="3"/>
  <c r="R83" i="3"/>
  <c r="R82" i="3"/>
  <c r="R81" i="3"/>
  <c r="R80" i="3"/>
  <c r="R79" i="3"/>
  <c r="R76" i="3"/>
  <c r="R62" i="3"/>
  <c r="R60" i="3"/>
  <c r="R59" i="3"/>
  <c r="R58" i="3"/>
  <c r="R57" i="3"/>
  <c r="R56" i="3"/>
  <c r="R54" i="3"/>
  <c r="R53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2" i="3"/>
  <c r="R31" i="3"/>
  <c r="R30" i="3"/>
  <c r="R29" i="3"/>
  <c r="R28" i="3"/>
  <c r="R27" i="3"/>
  <c r="R26" i="3"/>
  <c r="R24" i="3"/>
  <c r="R23" i="3"/>
  <c r="R21" i="3"/>
  <c r="L53" i="22" s="1"/>
  <c r="R20" i="3"/>
  <c r="L52" i="22" s="1"/>
  <c r="R19" i="3"/>
  <c r="R18" i="3"/>
  <c r="R17" i="3"/>
  <c r="R16" i="3"/>
  <c r="R13" i="3"/>
  <c r="L50" i="22" s="1"/>
  <c r="R12" i="3"/>
  <c r="R10" i="3"/>
  <c r="R9" i="3"/>
  <c r="R8" i="3"/>
  <c r="R5" i="3"/>
  <c r="L48" i="22" s="1"/>
  <c r="R4" i="3"/>
  <c r="M236" i="29"/>
  <c r="M233" i="29"/>
  <c r="M230" i="29"/>
  <c r="R228" i="3" s="1"/>
  <c r="R227" i="3" s="1"/>
  <c r="M225" i="29"/>
  <c r="R224" i="3" s="1"/>
  <c r="M224" i="29"/>
  <c r="R205" i="3"/>
  <c r="K13" i="25"/>
  <c r="K87" i="22"/>
  <c r="Q233" i="3"/>
  <c r="Q231" i="3"/>
  <c r="Q225" i="3"/>
  <c r="Q197" i="3"/>
  <c r="Q196" i="3"/>
  <c r="Q194" i="3"/>
  <c r="Q193" i="3"/>
  <c r="Q192" i="3"/>
  <c r="Q190" i="3"/>
  <c r="Q189" i="3"/>
  <c r="Q188" i="3"/>
  <c r="Q187" i="3"/>
  <c r="Q186" i="3"/>
  <c r="K73" i="23" s="1"/>
  <c r="Q185" i="3"/>
  <c r="K72" i="23" s="1"/>
  <c r="Q184" i="3"/>
  <c r="K71" i="23" s="1"/>
  <c r="Q183" i="3"/>
  <c r="Q182" i="3"/>
  <c r="Q181" i="3"/>
  <c r="Q180" i="3"/>
  <c r="K70" i="23" s="1"/>
  <c r="Q178" i="3"/>
  <c r="Q177" i="3"/>
  <c r="Q176" i="3"/>
  <c r="Q175" i="3"/>
  <c r="Q174" i="3"/>
  <c r="Q173" i="3"/>
  <c r="Q172" i="3"/>
  <c r="Q171" i="3"/>
  <c r="Q170" i="3"/>
  <c r="Q169" i="3"/>
  <c r="Q167" i="3"/>
  <c r="Q166" i="3"/>
  <c r="Q165" i="3"/>
  <c r="Q164" i="3"/>
  <c r="Q160" i="3"/>
  <c r="Q159" i="3"/>
  <c r="Q157" i="3"/>
  <c r="Q156" i="3"/>
  <c r="Q154" i="3"/>
  <c r="Q153" i="3"/>
  <c r="Q152" i="3"/>
  <c r="Q151" i="3"/>
  <c r="Q149" i="3"/>
  <c r="Q148" i="3"/>
  <c r="Q147" i="3"/>
  <c r="Q140" i="3"/>
  <c r="Q139" i="3"/>
  <c r="Q138" i="3"/>
  <c r="Q136" i="3"/>
  <c r="Q135" i="3"/>
  <c r="Q134" i="3"/>
  <c r="K69" i="23" s="1"/>
  <c r="Q133" i="3"/>
  <c r="Q131" i="3"/>
  <c r="Q130" i="3"/>
  <c r="Q129" i="3"/>
  <c r="K68" i="23" s="1"/>
  <c r="Q128" i="3"/>
  <c r="Q127" i="3"/>
  <c r="Q126" i="3"/>
  <c r="Q125" i="3"/>
  <c r="Q124" i="3"/>
  <c r="Q123" i="3"/>
  <c r="Q121" i="3"/>
  <c r="Q120" i="3"/>
  <c r="Q119" i="3"/>
  <c r="Q118" i="3"/>
  <c r="Q117" i="3"/>
  <c r="Q116" i="3"/>
  <c r="Q115" i="3"/>
  <c r="Q114" i="3"/>
  <c r="Q112" i="3"/>
  <c r="Q111" i="3"/>
  <c r="K67" i="23" s="1"/>
  <c r="Q110" i="3"/>
  <c r="Q109" i="3"/>
  <c r="K66" i="23" s="1"/>
  <c r="Q108" i="3"/>
  <c r="K65" i="23" s="1"/>
  <c r="Q107" i="3"/>
  <c r="K64" i="23" s="1"/>
  <c r="Q104" i="3"/>
  <c r="Q103" i="3"/>
  <c r="Q102" i="3"/>
  <c r="Q101" i="3"/>
  <c r="Q100" i="3"/>
  <c r="Q99" i="3"/>
  <c r="Q98" i="3"/>
  <c r="Q96" i="3"/>
  <c r="Q95" i="3"/>
  <c r="Q94" i="3"/>
  <c r="Q93" i="3"/>
  <c r="Q92" i="3"/>
  <c r="Q91" i="3"/>
  <c r="Q90" i="3"/>
  <c r="Q89" i="3"/>
  <c r="Q88" i="3"/>
  <c r="Q86" i="3"/>
  <c r="Q85" i="3"/>
  <c r="Q84" i="3"/>
  <c r="Q83" i="3"/>
  <c r="Q82" i="3"/>
  <c r="Q81" i="3"/>
  <c r="Q80" i="3"/>
  <c r="Q79" i="3"/>
  <c r="Q76" i="3"/>
  <c r="Q62" i="3"/>
  <c r="Q60" i="3"/>
  <c r="Q59" i="3"/>
  <c r="Q58" i="3"/>
  <c r="Q57" i="3"/>
  <c r="Q56" i="3"/>
  <c r="Q54" i="3"/>
  <c r="Q53" i="3"/>
  <c r="Q50" i="3"/>
  <c r="Q49" i="3"/>
  <c r="Q48" i="3"/>
  <c r="Q47" i="3"/>
  <c r="Q46" i="3"/>
  <c r="Q45" i="3"/>
  <c r="Q44" i="3"/>
  <c r="Q43" i="3"/>
  <c r="Q42" i="3"/>
  <c r="Q41" i="3"/>
  <c r="Q40" i="3"/>
  <c r="Q39" i="3"/>
  <c r="Q38" i="3"/>
  <c r="Q37" i="3"/>
  <c r="Q36" i="3"/>
  <c r="Q35" i="3"/>
  <c r="Q34" i="3"/>
  <c r="Q32" i="3"/>
  <c r="Q31" i="3"/>
  <c r="Q30" i="3"/>
  <c r="Q29" i="3"/>
  <c r="Q28" i="3"/>
  <c r="Q27" i="3"/>
  <c r="Q26" i="3"/>
  <c r="Q24" i="3"/>
  <c r="Q23" i="3"/>
  <c r="Q21" i="3"/>
  <c r="Q20" i="3"/>
  <c r="K52" i="22" s="1"/>
  <c r="Q19" i="3"/>
  <c r="Q18" i="3"/>
  <c r="Q17" i="3"/>
  <c r="Q16" i="3"/>
  <c r="Q13" i="3"/>
  <c r="K50" i="22" s="1"/>
  <c r="Q12" i="3"/>
  <c r="Q10" i="3"/>
  <c r="Q9" i="3"/>
  <c r="Q8" i="3"/>
  <c r="Q5" i="3"/>
  <c r="K48" i="22" s="1"/>
  <c r="Q4" i="3"/>
  <c r="L236" i="29"/>
  <c r="L233" i="29"/>
  <c r="L230" i="29"/>
  <c r="Q228" i="3" s="1"/>
  <c r="Q227" i="3" s="1"/>
  <c r="L225" i="29"/>
  <c r="Q224" i="3" s="1"/>
  <c r="L224" i="29"/>
  <c r="Q223" i="3" s="1"/>
  <c r="L221" i="29"/>
  <c r="Q221" i="3" s="1"/>
  <c r="L220" i="29"/>
  <c r="Q220" i="3" s="1"/>
  <c r="L219" i="29"/>
  <c r="Q219" i="3" s="1"/>
  <c r="L218" i="29"/>
  <c r="Q218" i="3" s="1"/>
  <c r="L215" i="29"/>
  <c r="Q217" i="3" s="1"/>
  <c r="L214" i="29"/>
  <c r="Q216" i="3" s="1"/>
  <c r="L213" i="29"/>
  <c r="Q215" i="3" s="1"/>
  <c r="L209" i="29"/>
  <c r="Q213" i="3" s="1"/>
  <c r="L208" i="29"/>
  <c r="L207" i="29"/>
  <c r="Q212" i="3" s="1"/>
  <c r="L206" i="29"/>
  <c r="Q210" i="3" s="1"/>
  <c r="L205" i="29"/>
  <c r="Q209" i="3" s="1"/>
  <c r="L203" i="29"/>
  <c r="L201" i="29"/>
  <c r="Q205" i="3" s="1"/>
  <c r="Q29" i="26" l="1"/>
  <c r="Q44" i="26" s="1"/>
  <c r="O4" i="21"/>
  <c r="N4" i="21"/>
  <c r="V236" i="3"/>
  <c r="Q11" i="21" s="1"/>
  <c r="Q4" i="26" s="1"/>
  <c r="Q10" i="26" s="1"/>
  <c r="Q42" i="26" s="1"/>
  <c r="Q12" i="21"/>
  <c r="Q19" i="26"/>
  <c r="Q43" i="26" s="1"/>
  <c r="O9" i="28"/>
  <c r="O6" i="28"/>
  <c r="O13" i="28" s="1"/>
  <c r="O7" i="28"/>
  <c r="O14" i="28" s="1"/>
  <c r="O8" i="28"/>
  <c r="O5" i="28"/>
  <c r="O12" i="28" s="1"/>
  <c r="N34" i="23"/>
  <c r="O36" i="26"/>
  <c r="O27" i="26"/>
  <c r="N36" i="26"/>
  <c r="N27" i="26"/>
  <c r="N8" i="25"/>
  <c r="N35" i="23"/>
  <c r="N10" i="25" s="1"/>
  <c r="U144" i="3"/>
  <c r="O4" i="25"/>
  <c r="O40" i="25" s="1"/>
  <c r="P3" i="21"/>
  <c r="O6" i="25"/>
  <c r="P24" i="21"/>
  <c r="Q72" i="21" s="1"/>
  <c r="O10" i="22"/>
  <c r="O6" i="24"/>
  <c r="O7" i="24"/>
  <c r="O7" i="22"/>
  <c r="O20" i="22" s="1"/>
  <c r="O9" i="22"/>
  <c r="P9" i="21"/>
  <c r="U207" i="3"/>
  <c r="U222" i="3" s="1"/>
  <c r="U71" i="3"/>
  <c r="O3" i="24"/>
  <c r="T33" i="3"/>
  <c r="O8" i="21" s="1"/>
  <c r="O23" i="21" s="1"/>
  <c r="P71" i="21" s="1"/>
  <c r="O7" i="21"/>
  <c r="O22" i="21" s="1"/>
  <c r="P70" i="21" s="1"/>
  <c r="T226" i="3"/>
  <c r="M35" i="28" s="1"/>
  <c r="N32" i="23"/>
  <c r="N5" i="22"/>
  <c r="N18" i="22" s="1"/>
  <c r="N14" i="22"/>
  <c r="R155" i="3"/>
  <c r="M212" i="29"/>
  <c r="Q132" i="3"/>
  <c r="K5" i="23" s="1"/>
  <c r="R158" i="3"/>
  <c r="N33" i="23"/>
  <c r="R215" i="3"/>
  <c r="R214" i="3" s="1"/>
  <c r="Q150" i="3"/>
  <c r="S226" i="3"/>
  <c r="L35" i="28" s="1"/>
  <c r="Q146" i="3"/>
  <c r="S214" i="3"/>
  <c r="M9" i="25"/>
  <c r="M35" i="23"/>
  <c r="M10" i="25" s="1"/>
  <c r="M8" i="25"/>
  <c r="S75" i="3"/>
  <c r="N5" i="26" s="1"/>
  <c r="T55" i="3"/>
  <c r="T63" i="3" s="1"/>
  <c r="R25" i="3"/>
  <c r="L54" i="22" s="1"/>
  <c r="L81" i="22"/>
  <c r="M81" i="22"/>
  <c r="N231" i="29"/>
  <c r="S230" i="3" s="1"/>
  <c r="S234" i="3" s="1"/>
  <c r="L36" i="28" s="1"/>
  <c r="S232" i="3"/>
  <c r="T214" i="3"/>
  <c r="S208" i="3"/>
  <c r="M33" i="23"/>
  <c r="M6" i="23"/>
  <c r="M10" i="23" s="1"/>
  <c r="M13" i="23" s="1"/>
  <c r="T75" i="3"/>
  <c r="O33" i="26" s="1"/>
  <c r="N6" i="23"/>
  <c r="N10" i="23" s="1"/>
  <c r="N13" i="23" s="1"/>
  <c r="M34" i="23"/>
  <c r="O69" i="21"/>
  <c r="N80" i="22" s="1"/>
  <c r="Q25" i="3"/>
  <c r="K54" i="22" s="1"/>
  <c r="Q113" i="3"/>
  <c r="R11" i="3"/>
  <c r="R22" i="3"/>
  <c r="T208" i="3"/>
  <c r="S33" i="3"/>
  <c r="M13" i="22"/>
  <c r="M5" i="22"/>
  <c r="M18" i="22" s="1"/>
  <c r="N7" i="21"/>
  <c r="N22" i="21" s="1"/>
  <c r="M14" i="22"/>
  <c r="R150" i="3"/>
  <c r="R195" i="3"/>
  <c r="O231" i="29"/>
  <c r="T230" i="3" s="1"/>
  <c r="T234" i="3" s="1"/>
  <c r="M36" i="28" s="1"/>
  <c r="R132" i="3"/>
  <c r="L5" i="23" s="1"/>
  <c r="R163" i="3"/>
  <c r="O212" i="29"/>
  <c r="N204" i="29"/>
  <c r="N211" i="29" s="1"/>
  <c r="N212" i="29"/>
  <c r="M204" i="29"/>
  <c r="M211" i="29" s="1"/>
  <c r="N228" i="29"/>
  <c r="O204" i="29"/>
  <c r="O211" i="29" s="1"/>
  <c r="O228" i="29"/>
  <c r="M231" i="29"/>
  <c r="R230" i="3" s="1"/>
  <c r="R234" i="3" s="1"/>
  <c r="K36" i="28" s="1"/>
  <c r="R15" i="3"/>
  <c r="L51" i="22" s="1"/>
  <c r="R51" i="3"/>
  <c r="R97" i="3"/>
  <c r="R122" i="3"/>
  <c r="L4" i="23" s="1"/>
  <c r="R146" i="3"/>
  <c r="R61" i="3"/>
  <c r="L56" i="22"/>
  <c r="L12" i="22"/>
  <c r="L55" i="22"/>
  <c r="O239" i="29"/>
  <c r="M228" i="29"/>
  <c r="R7" i="3"/>
  <c r="M5" i="21" s="1"/>
  <c r="R137" i="3"/>
  <c r="R168" i="3"/>
  <c r="R232" i="3"/>
  <c r="L8" i="23"/>
  <c r="R6" i="3"/>
  <c r="R52" i="3"/>
  <c r="L57" i="22" s="1"/>
  <c r="R113" i="3"/>
  <c r="R191" i="3"/>
  <c r="R223" i="3"/>
  <c r="R226" i="3" s="1"/>
  <c r="K35" i="28" s="1"/>
  <c r="L3" i="22"/>
  <c r="L42" i="22" s="1"/>
  <c r="K12" i="22"/>
  <c r="R78" i="3"/>
  <c r="R87" i="3"/>
  <c r="R106" i="3"/>
  <c r="R179" i="3"/>
  <c r="R209" i="3"/>
  <c r="R208" i="3" s="1"/>
  <c r="L49" i="22"/>
  <c r="L12" i="25"/>
  <c r="L228" i="29"/>
  <c r="K55" i="22"/>
  <c r="Q52" i="3"/>
  <c r="K57" i="22" s="1"/>
  <c r="K56" i="22"/>
  <c r="L204" i="29"/>
  <c r="Q6" i="3"/>
  <c r="L6" i="21" s="1"/>
  <c r="Q158" i="3"/>
  <c r="Q191" i="3"/>
  <c r="Q155" i="3"/>
  <c r="Q195" i="3"/>
  <c r="Q214" i="3"/>
  <c r="Q208" i="3"/>
  <c r="Q15" i="3"/>
  <c r="Q61" i="3"/>
  <c r="Q122" i="3"/>
  <c r="K8" i="23"/>
  <c r="K12" i="25"/>
  <c r="L231" i="29"/>
  <c r="Q230" i="3" s="1"/>
  <c r="Q234" i="3" s="1"/>
  <c r="J36" i="28" s="1"/>
  <c r="Q11" i="3"/>
  <c r="Q22" i="3"/>
  <c r="Q78" i="3"/>
  <c r="Q87" i="3"/>
  <c r="Q106" i="3"/>
  <c r="Q179" i="3"/>
  <c r="K49" i="22"/>
  <c r="K53" i="22"/>
  <c r="K74" i="23"/>
  <c r="Q226" i="3"/>
  <c r="J35" i="28" s="1"/>
  <c r="Q51" i="3"/>
  <c r="Q97" i="3"/>
  <c r="K3" i="22"/>
  <c r="K42" i="22" s="1"/>
  <c r="Q7" i="3"/>
  <c r="L5" i="21" s="1"/>
  <c r="L21" i="21" s="1"/>
  <c r="Q137" i="3"/>
  <c r="Q163" i="3"/>
  <c r="Q168" i="3"/>
  <c r="Q232" i="3"/>
  <c r="L211" i="29"/>
  <c r="L212" i="29"/>
  <c r="K236" i="29"/>
  <c r="K233" i="29"/>
  <c r="P232" i="3" s="1"/>
  <c r="K230" i="29"/>
  <c r="P228" i="3" s="1"/>
  <c r="P227" i="3" s="1"/>
  <c r="K225" i="29"/>
  <c r="P224" i="3" s="1"/>
  <c r="K224" i="29"/>
  <c r="K221" i="29"/>
  <c r="P221" i="3" s="1"/>
  <c r="K220" i="29"/>
  <c r="P220" i="3" s="1"/>
  <c r="K219" i="29"/>
  <c r="P219" i="3" s="1"/>
  <c r="K218" i="29"/>
  <c r="P218" i="3" s="1"/>
  <c r="K215" i="29"/>
  <c r="P217" i="3" s="1"/>
  <c r="K214" i="29"/>
  <c r="P216" i="3" s="1"/>
  <c r="K213" i="29"/>
  <c r="K209" i="29"/>
  <c r="P213" i="3" s="1"/>
  <c r="K208" i="29"/>
  <c r="K207" i="29"/>
  <c r="P212" i="3" s="1"/>
  <c r="K206" i="29"/>
  <c r="P210" i="3" s="1"/>
  <c r="K205" i="29"/>
  <c r="P209" i="3" s="1"/>
  <c r="K203" i="29"/>
  <c r="K201" i="29"/>
  <c r="P205" i="3" s="1"/>
  <c r="I201" i="29"/>
  <c r="N205" i="3" s="1"/>
  <c r="I203" i="29"/>
  <c r="I205" i="29"/>
  <c r="N209" i="3" s="1"/>
  <c r="I206" i="29"/>
  <c r="N210" i="3" s="1"/>
  <c r="I207" i="29"/>
  <c r="I208" i="29"/>
  <c r="I209" i="29"/>
  <c r="N213" i="3" s="1"/>
  <c r="I213" i="29"/>
  <c r="I214" i="29"/>
  <c r="N216" i="3" s="1"/>
  <c r="I215" i="29"/>
  <c r="N217" i="3" s="1"/>
  <c r="I218" i="29"/>
  <c r="N218" i="3" s="1"/>
  <c r="I219" i="29"/>
  <c r="N219" i="3" s="1"/>
  <c r="I220" i="29"/>
  <c r="N220" i="3" s="1"/>
  <c r="I221" i="29"/>
  <c r="N221" i="3" s="1"/>
  <c r="I224" i="29"/>
  <c r="N223" i="3" s="1"/>
  <c r="I225" i="29"/>
  <c r="N224" i="3" s="1"/>
  <c r="I230" i="29"/>
  <c r="N228" i="3" s="1"/>
  <c r="N227" i="3" s="1"/>
  <c r="I233" i="29"/>
  <c r="N232" i="3" s="1"/>
  <c r="I236" i="29"/>
  <c r="J13" i="25"/>
  <c r="I13" i="25"/>
  <c r="P233" i="3"/>
  <c r="N233" i="3"/>
  <c r="M233" i="3"/>
  <c r="L233" i="3"/>
  <c r="K233" i="3"/>
  <c r="J233" i="3"/>
  <c r="P231" i="3"/>
  <c r="N231" i="3"/>
  <c r="M231" i="3"/>
  <c r="L231" i="3"/>
  <c r="K231" i="3"/>
  <c r="J231" i="3"/>
  <c r="P225" i="3"/>
  <c r="N225" i="3"/>
  <c r="M225" i="3"/>
  <c r="L225" i="3"/>
  <c r="K225" i="3"/>
  <c r="J225" i="3"/>
  <c r="O225" i="3"/>
  <c r="O231" i="3"/>
  <c r="O233" i="3"/>
  <c r="H236" i="29"/>
  <c r="G236" i="29"/>
  <c r="F236" i="29"/>
  <c r="E236" i="29"/>
  <c r="H233" i="29"/>
  <c r="M232" i="3" s="1"/>
  <c r="G233" i="29"/>
  <c r="L232" i="3" s="1"/>
  <c r="F233" i="29"/>
  <c r="F231" i="29" s="1"/>
  <c r="K230" i="3" s="1"/>
  <c r="E233" i="29"/>
  <c r="E231" i="29" s="1"/>
  <c r="J230" i="3" s="1"/>
  <c r="H230" i="29"/>
  <c r="M228" i="3" s="1"/>
  <c r="M227" i="3" s="1"/>
  <c r="G230" i="29"/>
  <c r="F230" i="29"/>
  <c r="K228" i="3" s="1"/>
  <c r="K227" i="3" s="1"/>
  <c r="E230" i="29"/>
  <c r="J228" i="3" s="1"/>
  <c r="J227" i="3" s="1"/>
  <c r="J234" i="3" s="1"/>
  <c r="H225" i="29"/>
  <c r="M224" i="3" s="1"/>
  <c r="G225" i="29"/>
  <c r="L224" i="3" s="1"/>
  <c r="F225" i="29"/>
  <c r="K224" i="3" s="1"/>
  <c r="E225" i="29"/>
  <c r="J224" i="3" s="1"/>
  <c r="H224" i="29"/>
  <c r="M223" i="3" s="1"/>
  <c r="G224" i="29"/>
  <c r="L223" i="3" s="1"/>
  <c r="F224" i="29"/>
  <c r="E224" i="29"/>
  <c r="J223" i="3" s="1"/>
  <c r="H221" i="29"/>
  <c r="M221" i="3" s="1"/>
  <c r="G221" i="29"/>
  <c r="L221" i="3" s="1"/>
  <c r="F221" i="29"/>
  <c r="K221" i="3" s="1"/>
  <c r="E221" i="29"/>
  <c r="J221" i="3" s="1"/>
  <c r="H220" i="29"/>
  <c r="M220" i="3" s="1"/>
  <c r="G220" i="29"/>
  <c r="L220" i="3" s="1"/>
  <c r="F220" i="29"/>
  <c r="K220" i="3" s="1"/>
  <c r="E220" i="29"/>
  <c r="J220" i="3" s="1"/>
  <c r="H219" i="29"/>
  <c r="M219" i="3" s="1"/>
  <c r="G219" i="29"/>
  <c r="L219" i="3" s="1"/>
  <c r="F219" i="29"/>
  <c r="K219" i="3" s="1"/>
  <c r="E219" i="29"/>
  <c r="J219" i="3" s="1"/>
  <c r="H218" i="29"/>
  <c r="M218" i="3" s="1"/>
  <c r="G218" i="29"/>
  <c r="L218" i="3" s="1"/>
  <c r="F218" i="29"/>
  <c r="K218" i="3" s="1"/>
  <c r="E218" i="29"/>
  <c r="J218" i="3" s="1"/>
  <c r="H215" i="29"/>
  <c r="M217" i="3" s="1"/>
  <c r="G215" i="29"/>
  <c r="L217" i="3" s="1"/>
  <c r="F215" i="29"/>
  <c r="K217" i="3" s="1"/>
  <c r="E215" i="29"/>
  <c r="J217" i="3" s="1"/>
  <c r="H214" i="29"/>
  <c r="M216" i="3" s="1"/>
  <c r="G214" i="29"/>
  <c r="L216" i="3" s="1"/>
  <c r="F214" i="29"/>
  <c r="K216" i="3" s="1"/>
  <c r="E214" i="29"/>
  <c r="J216" i="3" s="1"/>
  <c r="H213" i="29"/>
  <c r="M215" i="3" s="1"/>
  <c r="G213" i="29"/>
  <c r="F213" i="29"/>
  <c r="E213" i="29"/>
  <c r="H209" i="29"/>
  <c r="M213" i="3" s="1"/>
  <c r="G209" i="29"/>
  <c r="L213" i="3" s="1"/>
  <c r="F209" i="29"/>
  <c r="K213" i="3" s="1"/>
  <c r="E209" i="29"/>
  <c r="J213" i="3" s="1"/>
  <c r="H208" i="29"/>
  <c r="G208" i="29"/>
  <c r="F208" i="29"/>
  <c r="E208" i="29"/>
  <c r="H207" i="29"/>
  <c r="M212" i="3" s="1"/>
  <c r="G207" i="29"/>
  <c r="L212" i="3" s="1"/>
  <c r="F207" i="29"/>
  <c r="K212" i="3" s="1"/>
  <c r="E207" i="29"/>
  <c r="J212" i="3" s="1"/>
  <c r="H206" i="29"/>
  <c r="G206" i="29"/>
  <c r="L210" i="3" s="1"/>
  <c r="F206" i="29"/>
  <c r="K210" i="3" s="1"/>
  <c r="E206" i="29"/>
  <c r="J210" i="3" s="1"/>
  <c r="H205" i="29"/>
  <c r="M209" i="3" s="1"/>
  <c r="G205" i="29"/>
  <c r="F205" i="29"/>
  <c r="E205" i="29"/>
  <c r="E204" i="29" s="1"/>
  <c r="H203" i="29"/>
  <c r="G203" i="29"/>
  <c r="F203" i="29"/>
  <c r="E203" i="29"/>
  <c r="H201" i="29"/>
  <c r="M205" i="3" s="1"/>
  <c r="G201" i="29"/>
  <c r="L205" i="3" s="1"/>
  <c r="F201" i="29"/>
  <c r="K205" i="3" s="1"/>
  <c r="E201" i="29"/>
  <c r="J205" i="3" s="1"/>
  <c r="J236" i="29"/>
  <c r="J233" i="29"/>
  <c r="O232" i="3" s="1"/>
  <c r="J230" i="29"/>
  <c r="J225" i="29"/>
  <c r="O224" i="3" s="1"/>
  <c r="J224" i="29"/>
  <c r="J220" i="29"/>
  <c r="O220" i="3" s="1"/>
  <c r="J218" i="29"/>
  <c r="O218" i="3" s="1"/>
  <c r="J221" i="29"/>
  <c r="O221" i="3" s="1"/>
  <c r="J219" i="29"/>
  <c r="O219" i="3" s="1"/>
  <c r="J215" i="29"/>
  <c r="O217" i="3" s="1"/>
  <c r="J214" i="29"/>
  <c r="O216" i="3" s="1"/>
  <c r="J213" i="29"/>
  <c r="O215" i="3" s="1"/>
  <c r="J209" i="29"/>
  <c r="O213" i="3" s="1"/>
  <c r="J208" i="29"/>
  <c r="J207" i="29"/>
  <c r="O212" i="3" s="1"/>
  <c r="J206" i="29"/>
  <c r="O210" i="3" s="1"/>
  <c r="J205" i="29"/>
  <c r="O209" i="3" s="1"/>
  <c r="N6" i="22" l="1"/>
  <c r="N19" i="22" s="1"/>
  <c r="M217" i="29"/>
  <c r="M222" i="29" s="1"/>
  <c r="U235" i="3"/>
  <c r="U238" i="3" s="1"/>
  <c r="N34" i="28"/>
  <c r="N3" i="28"/>
  <c r="N36" i="23"/>
  <c r="O5" i="26"/>
  <c r="O9" i="26"/>
  <c r="O35" i="26"/>
  <c r="O26" i="26"/>
  <c r="N26" i="26"/>
  <c r="N9" i="26"/>
  <c r="N35" i="26"/>
  <c r="N33" i="26"/>
  <c r="O23" i="26"/>
  <c r="P14" i="26"/>
  <c r="P15" i="26"/>
  <c r="P18" i="26"/>
  <c r="N23" i="26"/>
  <c r="O5" i="24"/>
  <c r="P34" i="26"/>
  <c r="P37" i="26" s="1"/>
  <c r="P45" i="26" s="1"/>
  <c r="P25" i="26"/>
  <c r="P24" i="26"/>
  <c r="P16" i="26"/>
  <c r="P17" i="26"/>
  <c r="P6" i="26"/>
  <c r="P7" i="26"/>
  <c r="P12" i="21"/>
  <c r="O4" i="24"/>
  <c r="O32" i="24" s="1"/>
  <c r="P18" i="21"/>
  <c r="N11" i="22"/>
  <c r="U199" i="3"/>
  <c r="O5" i="25"/>
  <c r="E211" i="29"/>
  <c r="L45" i="22"/>
  <c r="N239" i="29"/>
  <c r="J231" i="29"/>
  <c r="O230" i="3" s="1"/>
  <c r="I204" i="29"/>
  <c r="I211" i="29" s="1"/>
  <c r="L226" i="3"/>
  <c r="I212" i="29"/>
  <c r="N8" i="22"/>
  <c r="N21" i="22" s="1"/>
  <c r="O15" i="21"/>
  <c r="O10" i="21"/>
  <c r="T64" i="3"/>
  <c r="T161" i="3"/>
  <c r="T145" i="3" s="1"/>
  <c r="T69" i="3"/>
  <c r="E212" i="29"/>
  <c r="I231" i="29"/>
  <c r="N230" i="3" s="1"/>
  <c r="N234" i="3" s="1"/>
  <c r="I228" i="29"/>
  <c r="R162" i="3"/>
  <c r="M4" i="21" s="1"/>
  <c r="M13" i="21"/>
  <c r="T200" i="3"/>
  <c r="N7" i="25"/>
  <c r="N3" i="25"/>
  <c r="N17" i="25" s="1"/>
  <c r="O17" i="21"/>
  <c r="M3" i="25"/>
  <c r="M17" i="25" s="1"/>
  <c r="M7" i="25"/>
  <c r="N17" i="21"/>
  <c r="S200" i="3"/>
  <c r="J228" i="29"/>
  <c r="F212" i="29"/>
  <c r="J209" i="3"/>
  <c r="J208" i="3" s="1"/>
  <c r="K228" i="29"/>
  <c r="Q162" i="3"/>
  <c r="L4" i="21" s="1"/>
  <c r="L8" i="26"/>
  <c r="K4" i="22"/>
  <c r="K17" i="22" s="1"/>
  <c r="S55" i="3"/>
  <c r="S63" i="3" s="1"/>
  <c r="M6" i="22"/>
  <c r="M19" i="22" s="1"/>
  <c r="N8" i="21"/>
  <c r="N23" i="21" s="1"/>
  <c r="O71" i="21" s="1"/>
  <c r="M11" i="22"/>
  <c r="O70" i="21"/>
  <c r="M36" i="23"/>
  <c r="N217" i="29"/>
  <c r="N222" i="29" s="1"/>
  <c r="M239" i="29"/>
  <c r="M240" i="29" s="1"/>
  <c r="M241" i="29" s="1"/>
  <c r="O217" i="29"/>
  <c r="O222" i="29" s="1"/>
  <c r="O240" i="29" s="1"/>
  <c r="O241" i="29" s="1"/>
  <c r="L58" i="22"/>
  <c r="J226" i="3"/>
  <c r="J215" i="3"/>
  <c r="J214" i="3" s="1"/>
  <c r="L43" i="22"/>
  <c r="R77" i="3"/>
  <c r="L4" i="22"/>
  <c r="L17" i="22" s="1"/>
  <c r="M6" i="21"/>
  <c r="H204" i="29"/>
  <c r="H211" i="29" s="1"/>
  <c r="J232" i="3"/>
  <c r="M28" i="26"/>
  <c r="M21" i="21"/>
  <c r="N69" i="21" s="1"/>
  <c r="M80" i="22" s="1"/>
  <c r="M8" i="26"/>
  <c r="E228" i="29"/>
  <c r="K204" i="29"/>
  <c r="K211" i="29" s="1"/>
  <c r="L7" i="23"/>
  <c r="L9" i="23" s="1"/>
  <c r="M14" i="21"/>
  <c r="L44" i="22"/>
  <c r="O228" i="3"/>
  <c r="O227" i="3" s="1"/>
  <c r="Q14" i="3"/>
  <c r="K13" i="22" s="1"/>
  <c r="R14" i="3"/>
  <c r="R105" i="3"/>
  <c r="L3" i="23"/>
  <c r="L6" i="23" s="1"/>
  <c r="L11" i="25"/>
  <c r="L14" i="25"/>
  <c r="L61" i="25" s="1"/>
  <c r="L217" i="29"/>
  <c r="L222" i="29" s="1"/>
  <c r="Q77" i="3"/>
  <c r="K45" i="22"/>
  <c r="K4" i="23"/>
  <c r="L13" i="21"/>
  <c r="K7" i="23"/>
  <c r="K9" i="23" s="1"/>
  <c r="L14" i="21"/>
  <c r="K43" i="22"/>
  <c r="L28" i="26"/>
  <c r="K14" i="25"/>
  <c r="K61" i="25" s="1"/>
  <c r="Q105" i="3"/>
  <c r="K3" i="23"/>
  <c r="K44" i="22"/>
  <c r="K51" i="22"/>
  <c r="K58" i="22" s="1"/>
  <c r="L239" i="29"/>
  <c r="K11" i="25"/>
  <c r="K212" i="29"/>
  <c r="K231" i="29"/>
  <c r="P230" i="3" s="1"/>
  <c r="P234" i="3" s="1"/>
  <c r="I36" i="28" s="1"/>
  <c r="P208" i="3"/>
  <c r="P223" i="3"/>
  <c r="P226" i="3" s="1"/>
  <c r="I35" i="28" s="1"/>
  <c r="P215" i="3"/>
  <c r="P214" i="3" s="1"/>
  <c r="K234" i="3"/>
  <c r="K215" i="3"/>
  <c r="K214" i="3" s="1"/>
  <c r="F228" i="29"/>
  <c r="K232" i="3"/>
  <c r="F204" i="29"/>
  <c r="F211" i="29" s="1"/>
  <c r="G212" i="29"/>
  <c r="K209" i="3"/>
  <c r="K208" i="3" s="1"/>
  <c r="K223" i="3"/>
  <c r="K226" i="3" s="1"/>
  <c r="O214" i="3"/>
  <c r="O223" i="3"/>
  <c r="O226" i="3" s="1"/>
  <c r="J212" i="29"/>
  <c r="O208" i="3"/>
  <c r="N212" i="3"/>
  <c r="N208" i="3" s="1"/>
  <c r="N226" i="3"/>
  <c r="M210" i="3"/>
  <c r="M208" i="3" s="1"/>
  <c r="G231" i="29"/>
  <c r="L230" i="3" s="1"/>
  <c r="G228" i="29"/>
  <c r="L215" i="3"/>
  <c r="L214" i="3" s="1"/>
  <c r="G204" i="29"/>
  <c r="G211" i="29" s="1"/>
  <c r="M214" i="3"/>
  <c r="L209" i="3"/>
  <c r="L208" i="3" s="1"/>
  <c r="L228" i="3"/>
  <c r="L227" i="3" s="1"/>
  <c r="H228" i="29"/>
  <c r="H231" i="29"/>
  <c r="M230" i="3" s="1"/>
  <c r="M234" i="3" s="1"/>
  <c r="N215" i="3"/>
  <c r="N214" i="3" s="1"/>
  <c r="M226" i="3"/>
  <c r="H212" i="29"/>
  <c r="F239" i="29"/>
  <c r="E239" i="29"/>
  <c r="J204" i="29"/>
  <c r="J203" i="29"/>
  <c r="J201" i="29"/>
  <c r="O205" i="3" s="1"/>
  <c r="J87" i="22"/>
  <c r="I87" i="22"/>
  <c r="H87" i="22"/>
  <c r="P197" i="3"/>
  <c r="P196" i="3"/>
  <c r="P194" i="3"/>
  <c r="P193" i="3"/>
  <c r="P192" i="3"/>
  <c r="P190" i="3"/>
  <c r="P189" i="3"/>
  <c r="P188" i="3"/>
  <c r="P187" i="3"/>
  <c r="P186" i="3"/>
  <c r="J73" i="23" s="1"/>
  <c r="P185" i="3"/>
  <c r="J72" i="23" s="1"/>
  <c r="P184" i="3"/>
  <c r="J71" i="23" s="1"/>
  <c r="P183" i="3"/>
  <c r="P182" i="3"/>
  <c r="P181" i="3"/>
  <c r="P180" i="3"/>
  <c r="J70" i="23" s="1"/>
  <c r="P178" i="3"/>
  <c r="P177" i="3"/>
  <c r="P176" i="3"/>
  <c r="P175" i="3"/>
  <c r="P174" i="3"/>
  <c r="P173" i="3"/>
  <c r="P172" i="3"/>
  <c r="P171" i="3"/>
  <c r="P170" i="3"/>
  <c r="P169" i="3"/>
  <c r="P167" i="3"/>
  <c r="P166" i="3"/>
  <c r="P165" i="3"/>
  <c r="P164" i="3"/>
  <c r="P160" i="3"/>
  <c r="P159" i="3"/>
  <c r="P157" i="3"/>
  <c r="P156" i="3"/>
  <c r="P154" i="3"/>
  <c r="P153" i="3"/>
  <c r="P152" i="3"/>
  <c r="P151" i="3"/>
  <c r="P149" i="3"/>
  <c r="P148" i="3"/>
  <c r="P147" i="3"/>
  <c r="P140" i="3"/>
  <c r="P139" i="3"/>
  <c r="P138" i="3"/>
  <c r="P136" i="3"/>
  <c r="P135" i="3"/>
  <c r="P134" i="3"/>
  <c r="J69" i="23" s="1"/>
  <c r="P133" i="3"/>
  <c r="P131" i="3"/>
  <c r="P130" i="3"/>
  <c r="P129" i="3"/>
  <c r="J68" i="23" s="1"/>
  <c r="P128" i="3"/>
  <c r="P127" i="3"/>
  <c r="P126" i="3"/>
  <c r="P125" i="3"/>
  <c r="P124" i="3"/>
  <c r="P123" i="3"/>
  <c r="P121" i="3"/>
  <c r="P120" i="3"/>
  <c r="P119" i="3"/>
  <c r="P118" i="3"/>
  <c r="P117" i="3"/>
  <c r="P116" i="3"/>
  <c r="P115" i="3"/>
  <c r="P114" i="3"/>
  <c r="P112" i="3"/>
  <c r="P111" i="3"/>
  <c r="J67" i="23" s="1"/>
  <c r="P110" i="3"/>
  <c r="P109" i="3"/>
  <c r="J66" i="23" s="1"/>
  <c r="P108" i="3"/>
  <c r="J65" i="23" s="1"/>
  <c r="P107" i="3"/>
  <c r="J64" i="23" s="1"/>
  <c r="P104" i="3"/>
  <c r="P103" i="3"/>
  <c r="P102" i="3"/>
  <c r="P101" i="3"/>
  <c r="P100" i="3"/>
  <c r="P99" i="3"/>
  <c r="P98" i="3"/>
  <c r="P96" i="3"/>
  <c r="P95" i="3"/>
  <c r="P94" i="3"/>
  <c r="P93" i="3"/>
  <c r="P92" i="3"/>
  <c r="P91" i="3"/>
  <c r="P90" i="3"/>
  <c r="P89" i="3"/>
  <c r="P88" i="3"/>
  <c r="P86" i="3"/>
  <c r="P85" i="3"/>
  <c r="P84" i="3"/>
  <c r="P83" i="3"/>
  <c r="P82" i="3"/>
  <c r="P81" i="3"/>
  <c r="P80" i="3"/>
  <c r="P79" i="3"/>
  <c r="P76" i="3"/>
  <c r="P62" i="3"/>
  <c r="P60" i="3"/>
  <c r="P59" i="3"/>
  <c r="P58" i="3"/>
  <c r="P57" i="3"/>
  <c r="P56" i="3"/>
  <c r="P54" i="3"/>
  <c r="P53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2" i="3"/>
  <c r="P31" i="3"/>
  <c r="P30" i="3"/>
  <c r="P29" i="3"/>
  <c r="P28" i="3"/>
  <c r="P27" i="3"/>
  <c r="P26" i="3"/>
  <c r="P24" i="3"/>
  <c r="P23" i="3"/>
  <c r="P21" i="3"/>
  <c r="J53" i="22" s="1"/>
  <c r="P20" i="3"/>
  <c r="J52" i="22" s="1"/>
  <c r="P19" i="3"/>
  <c r="P18" i="3"/>
  <c r="P17" i="3"/>
  <c r="P16" i="3"/>
  <c r="P13" i="3"/>
  <c r="J50" i="22" s="1"/>
  <c r="P12" i="3"/>
  <c r="J49" i="22" s="1"/>
  <c r="P10" i="3"/>
  <c r="P9" i="3"/>
  <c r="P8" i="3"/>
  <c r="P5" i="3"/>
  <c r="J48" i="22" s="1"/>
  <c r="P4" i="3"/>
  <c r="O197" i="3"/>
  <c r="O196" i="3"/>
  <c r="O194" i="3"/>
  <c r="O193" i="3"/>
  <c r="O192" i="3"/>
  <c r="O190" i="3"/>
  <c r="O189" i="3"/>
  <c r="O188" i="3"/>
  <c r="O187" i="3"/>
  <c r="O186" i="3"/>
  <c r="I73" i="23" s="1"/>
  <c r="O185" i="3"/>
  <c r="I72" i="23" s="1"/>
  <c r="O184" i="3"/>
  <c r="I71" i="23" s="1"/>
  <c r="O183" i="3"/>
  <c r="O182" i="3"/>
  <c r="O181" i="3"/>
  <c r="O180" i="3"/>
  <c r="I70" i="23" s="1"/>
  <c r="O178" i="3"/>
  <c r="O177" i="3"/>
  <c r="O176" i="3"/>
  <c r="O175" i="3"/>
  <c r="O174" i="3"/>
  <c r="O173" i="3"/>
  <c r="O172" i="3"/>
  <c r="O171" i="3"/>
  <c r="O170" i="3"/>
  <c r="O169" i="3"/>
  <c r="O167" i="3"/>
  <c r="O166" i="3"/>
  <c r="O165" i="3"/>
  <c r="O164" i="3"/>
  <c r="O160" i="3"/>
  <c r="O159" i="3"/>
  <c r="O157" i="3"/>
  <c r="O156" i="3"/>
  <c r="O154" i="3"/>
  <c r="O153" i="3"/>
  <c r="O152" i="3"/>
  <c r="O151" i="3"/>
  <c r="O149" i="3"/>
  <c r="O148" i="3"/>
  <c r="O147" i="3"/>
  <c r="O140" i="3"/>
  <c r="O139" i="3"/>
  <c r="O138" i="3"/>
  <c r="O136" i="3"/>
  <c r="O135" i="3"/>
  <c r="O134" i="3"/>
  <c r="I69" i="23" s="1"/>
  <c r="O133" i="3"/>
  <c r="O131" i="3"/>
  <c r="O130" i="3"/>
  <c r="O129" i="3"/>
  <c r="I68" i="23" s="1"/>
  <c r="O128" i="3"/>
  <c r="O127" i="3"/>
  <c r="O126" i="3"/>
  <c r="O125" i="3"/>
  <c r="O124" i="3"/>
  <c r="O123" i="3"/>
  <c r="O121" i="3"/>
  <c r="O120" i="3"/>
  <c r="O119" i="3"/>
  <c r="O118" i="3"/>
  <c r="O117" i="3"/>
  <c r="O116" i="3"/>
  <c r="O115" i="3"/>
  <c r="O114" i="3"/>
  <c r="O112" i="3"/>
  <c r="O111" i="3"/>
  <c r="I67" i="23" s="1"/>
  <c r="O110" i="3"/>
  <c r="O109" i="3"/>
  <c r="I66" i="23" s="1"/>
  <c r="O108" i="3"/>
  <c r="I65" i="23" s="1"/>
  <c r="O107" i="3"/>
  <c r="I64" i="23" s="1"/>
  <c r="O104" i="3"/>
  <c r="O103" i="3"/>
  <c r="O102" i="3"/>
  <c r="O101" i="3"/>
  <c r="O100" i="3"/>
  <c r="O99" i="3"/>
  <c r="O98" i="3"/>
  <c r="O96" i="3"/>
  <c r="O95" i="3"/>
  <c r="O94" i="3"/>
  <c r="O93" i="3"/>
  <c r="O92" i="3"/>
  <c r="O91" i="3"/>
  <c r="O90" i="3"/>
  <c r="O89" i="3"/>
  <c r="O88" i="3"/>
  <c r="O86" i="3"/>
  <c r="O85" i="3"/>
  <c r="O84" i="3"/>
  <c r="O83" i="3"/>
  <c r="O82" i="3"/>
  <c r="O81" i="3"/>
  <c r="O80" i="3"/>
  <c r="O79" i="3"/>
  <c r="O76" i="3"/>
  <c r="O62" i="3"/>
  <c r="O60" i="3"/>
  <c r="O59" i="3"/>
  <c r="O58" i="3"/>
  <c r="O57" i="3"/>
  <c r="O56" i="3"/>
  <c r="O54" i="3"/>
  <c r="O53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2" i="3"/>
  <c r="O31" i="3"/>
  <c r="O30" i="3"/>
  <c r="O29" i="3"/>
  <c r="O28" i="3"/>
  <c r="O27" i="3"/>
  <c r="O26" i="3"/>
  <c r="O24" i="3"/>
  <c r="O23" i="3"/>
  <c r="O21" i="3"/>
  <c r="I53" i="22" s="1"/>
  <c r="O20" i="3"/>
  <c r="I52" i="22" s="1"/>
  <c r="O19" i="3"/>
  <c r="O18" i="3"/>
  <c r="O17" i="3"/>
  <c r="O16" i="3"/>
  <c r="O13" i="3"/>
  <c r="I50" i="22" s="1"/>
  <c r="O12" i="3"/>
  <c r="I49" i="22" s="1"/>
  <c r="O10" i="3"/>
  <c r="O9" i="3"/>
  <c r="O8" i="3"/>
  <c r="O5" i="3"/>
  <c r="I48" i="22" s="1"/>
  <c r="O4" i="3"/>
  <c r="H13" i="25"/>
  <c r="G13" i="25"/>
  <c r="F13" i="25"/>
  <c r="E13" i="25"/>
  <c r="D13" i="25"/>
  <c r="C13" i="25"/>
  <c r="D2" i="29"/>
  <c r="E2" i="29" s="1"/>
  <c r="F2" i="29" s="1"/>
  <c r="G2" i="29" s="1"/>
  <c r="H2" i="29" s="1"/>
  <c r="I2" i="29" s="1"/>
  <c r="J2" i="29" s="1"/>
  <c r="K2" i="29" s="1"/>
  <c r="L2" i="29" s="1"/>
  <c r="M2" i="29" s="1"/>
  <c r="N2" i="29" s="1"/>
  <c r="O2" i="29" s="1"/>
  <c r="P2" i="29" s="1"/>
  <c r="Q2" i="29" s="1"/>
  <c r="R2" i="29" s="1"/>
  <c r="S2" i="29" s="1"/>
  <c r="T2" i="29" s="1"/>
  <c r="U2" i="29" s="1"/>
  <c r="U236" i="3" l="1"/>
  <c r="P11" i="21" s="1"/>
  <c r="P4" i="26" s="1"/>
  <c r="P10" i="26" s="1"/>
  <c r="P42" i="26" s="1"/>
  <c r="E217" i="29"/>
  <c r="E222" i="29" s="1"/>
  <c r="P19" i="26"/>
  <c r="P43" i="26" s="1"/>
  <c r="N8" i="28"/>
  <c r="N7" i="28"/>
  <c r="N14" i="28" s="1"/>
  <c r="N6" i="28"/>
  <c r="N13" i="28" s="1"/>
  <c r="N5" i="28"/>
  <c r="N12" i="28" s="1"/>
  <c r="N9" i="28"/>
  <c r="P29" i="26"/>
  <c r="P44" i="26" s="1"/>
  <c r="I81" i="22"/>
  <c r="I239" i="29"/>
  <c r="E240" i="29"/>
  <c r="E241" i="29" s="1"/>
  <c r="L240" i="29"/>
  <c r="L241" i="29" s="1"/>
  <c r="J239" i="29"/>
  <c r="N240" i="29"/>
  <c r="N241" i="29" s="1"/>
  <c r="F217" i="29"/>
  <c r="F222" i="29" s="1"/>
  <c r="F240" i="29" s="1"/>
  <c r="F241" i="29" s="1"/>
  <c r="O234" i="3"/>
  <c r="H36" i="28" s="1"/>
  <c r="L10" i="23"/>
  <c r="L13" i="23" s="1"/>
  <c r="L7" i="21"/>
  <c r="L22" i="21" s="1"/>
  <c r="I8" i="23"/>
  <c r="K217" i="29"/>
  <c r="K222" i="29" s="1"/>
  <c r="G217" i="29"/>
  <c r="G222" i="29" s="1"/>
  <c r="I217" i="29"/>
  <c r="I222" i="29" s="1"/>
  <c r="I240" i="29" s="1"/>
  <c r="I241" i="29" s="1"/>
  <c r="I55" i="22"/>
  <c r="K5" i="22"/>
  <c r="K18" i="22" s="1"/>
  <c r="K14" i="22"/>
  <c r="P25" i="3"/>
  <c r="J54" i="22" s="1"/>
  <c r="Q33" i="3"/>
  <c r="L8" i="21" s="1"/>
  <c r="L23" i="21" s="1"/>
  <c r="I12" i="25"/>
  <c r="T144" i="3"/>
  <c r="N4" i="25"/>
  <c r="N40" i="25" s="1"/>
  <c r="O3" i="21"/>
  <c r="N6" i="25"/>
  <c r="I56" i="22"/>
  <c r="J211" i="29"/>
  <c r="J217" i="29" s="1"/>
  <c r="J222" i="29" s="1"/>
  <c r="N9" i="22"/>
  <c r="N7" i="22"/>
  <c r="N20" i="22" s="1"/>
  <c r="O9" i="21"/>
  <c r="T207" i="3"/>
  <c r="T222" i="3" s="1"/>
  <c r="T71" i="3"/>
  <c r="J3" i="22"/>
  <c r="J45" i="22" s="1"/>
  <c r="N3" i="24"/>
  <c r="O24" i="21"/>
  <c r="P72" i="21" s="1"/>
  <c r="N10" i="22"/>
  <c r="N6" i="24"/>
  <c r="N7" i="24"/>
  <c r="M8" i="22"/>
  <c r="M21" i="22" s="1"/>
  <c r="N10" i="21"/>
  <c r="N15" i="21"/>
  <c r="S161" i="3"/>
  <c r="S145" i="3" s="1"/>
  <c r="S64" i="3"/>
  <c r="S69" i="3"/>
  <c r="I3" i="22"/>
  <c r="I45" i="22" s="1"/>
  <c r="O52" i="3"/>
  <c r="I57" i="22" s="1"/>
  <c r="O7" i="3"/>
  <c r="J5" i="21" s="1"/>
  <c r="J28" i="26" s="1"/>
  <c r="I12" i="22"/>
  <c r="J12" i="22"/>
  <c r="I74" i="23"/>
  <c r="L234" i="3"/>
  <c r="L8" i="25"/>
  <c r="L35" i="23"/>
  <c r="L9" i="25"/>
  <c r="M69" i="21"/>
  <c r="L80" i="22" s="1"/>
  <c r="R75" i="3"/>
  <c r="R33" i="3"/>
  <c r="M7" i="21"/>
  <c r="M22" i="21" s="1"/>
  <c r="N70" i="21" s="1"/>
  <c r="L13" i="22"/>
  <c r="L5" i="22"/>
  <c r="L18" i="22" s="1"/>
  <c r="L14" i="22"/>
  <c r="J81" i="22"/>
  <c r="K81" i="22"/>
  <c r="Q75" i="3"/>
  <c r="K7" i="25" s="1"/>
  <c r="M36" i="26"/>
  <c r="L34" i="23"/>
  <c r="M27" i="26"/>
  <c r="L33" i="23"/>
  <c r="L32" i="23"/>
  <c r="L27" i="26"/>
  <c r="K32" i="23"/>
  <c r="K34" i="23"/>
  <c r="L36" i="26"/>
  <c r="K33" i="23"/>
  <c r="K35" i="23"/>
  <c r="K10" i="25" s="1"/>
  <c r="K9" i="25"/>
  <c r="K8" i="25"/>
  <c r="K6" i="23"/>
  <c r="K10" i="23" s="1"/>
  <c r="K13" i="23" s="1"/>
  <c r="P158" i="3"/>
  <c r="J8" i="23"/>
  <c r="P61" i="3"/>
  <c r="P132" i="3"/>
  <c r="J5" i="23" s="1"/>
  <c r="P146" i="3"/>
  <c r="P191" i="3"/>
  <c r="J74" i="23"/>
  <c r="P15" i="3"/>
  <c r="P113" i="3"/>
  <c r="P122" i="3"/>
  <c r="J4" i="23" s="1"/>
  <c r="J12" i="25"/>
  <c r="P150" i="3"/>
  <c r="K239" i="29"/>
  <c r="P168" i="3"/>
  <c r="P6" i="3"/>
  <c r="P51" i="3"/>
  <c r="P52" i="3"/>
  <c r="J57" i="22" s="1"/>
  <c r="P179" i="3"/>
  <c r="J55" i="22"/>
  <c r="P7" i="3"/>
  <c r="K5" i="21" s="1"/>
  <c r="P97" i="3"/>
  <c r="P163" i="3"/>
  <c r="P195" i="3"/>
  <c r="P11" i="3"/>
  <c r="P22" i="3"/>
  <c r="P78" i="3"/>
  <c r="P87" i="3"/>
  <c r="P106" i="3"/>
  <c r="P137" i="3"/>
  <c r="P155" i="3"/>
  <c r="J56" i="22"/>
  <c r="H217" i="29"/>
  <c r="H222" i="29" s="1"/>
  <c r="G239" i="29"/>
  <c r="H239" i="29"/>
  <c r="O155" i="3"/>
  <c r="O195" i="3"/>
  <c r="O87" i="3"/>
  <c r="O106" i="3"/>
  <c r="I3" i="23" s="1"/>
  <c r="O132" i="3"/>
  <c r="I5" i="23" s="1"/>
  <c r="O158" i="3"/>
  <c r="O61" i="3"/>
  <c r="O11" i="3"/>
  <c r="O78" i="3"/>
  <c r="O146" i="3"/>
  <c r="O179" i="3"/>
  <c r="H35" i="28"/>
  <c r="O6" i="3"/>
  <c r="I4" i="22" s="1"/>
  <c r="I17" i="22" s="1"/>
  <c r="O25" i="3"/>
  <c r="I54" i="22" s="1"/>
  <c r="O113" i="3"/>
  <c r="O122" i="3"/>
  <c r="I4" i="23" s="1"/>
  <c r="O150" i="3"/>
  <c r="O191" i="3"/>
  <c r="O22" i="3"/>
  <c r="O137" i="3"/>
  <c r="O15" i="3"/>
  <c r="I51" i="22" s="1"/>
  <c r="O51" i="3"/>
  <c r="O97" i="3"/>
  <c r="O163" i="3"/>
  <c r="O168" i="3"/>
  <c r="D35" i="28"/>
  <c r="D200" i="29"/>
  <c r="E200" i="29" s="1"/>
  <c r="F200" i="29" s="1"/>
  <c r="G200" i="29" s="1"/>
  <c r="H200" i="29" s="1"/>
  <c r="I200" i="29" s="1"/>
  <c r="J200" i="29" s="1"/>
  <c r="K200" i="29" s="1"/>
  <c r="L200" i="29" s="1"/>
  <c r="M200" i="29" s="1"/>
  <c r="N200" i="29" s="1"/>
  <c r="O200" i="29" s="1"/>
  <c r="P200" i="29" s="1"/>
  <c r="Q200" i="29" s="1"/>
  <c r="R200" i="29" s="1"/>
  <c r="S200" i="29" s="1"/>
  <c r="T200" i="29" s="1"/>
  <c r="U200" i="29" s="1"/>
  <c r="N197" i="3"/>
  <c r="M197" i="3"/>
  <c r="L197" i="3"/>
  <c r="K197" i="3"/>
  <c r="J197" i="3"/>
  <c r="I197" i="3"/>
  <c r="N196" i="3"/>
  <c r="M196" i="3"/>
  <c r="L196" i="3"/>
  <c r="K196" i="3"/>
  <c r="J196" i="3"/>
  <c r="I196" i="3"/>
  <c r="N194" i="3"/>
  <c r="M194" i="3"/>
  <c r="L194" i="3"/>
  <c r="K194" i="3"/>
  <c r="J194" i="3"/>
  <c r="I194" i="3"/>
  <c r="N193" i="3"/>
  <c r="H74" i="23" s="1"/>
  <c r="M193" i="3"/>
  <c r="G74" i="23" s="1"/>
  <c r="L193" i="3"/>
  <c r="K193" i="3"/>
  <c r="J193" i="3"/>
  <c r="D74" i="23" s="1"/>
  <c r="I193" i="3"/>
  <c r="C74" i="23" s="1"/>
  <c r="N192" i="3"/>
  <c r="M192" i="3"/>
  <c r="L192" i="3"/>
  <c r="K192" i="3"/>
  <c r="J192" i="3"/>
  <c r="I192" i="3"/>
  <c r="N190" i="3"/>
  <c r="M190" i="3"/>
  <c r="L190" i="3"/>
  <c r="K190" i="3"/>
  <c r="J190" i="3"/>
  <c r="I190" i="3"/>
  <c r="N189" i="3"/>
  <c r="M189" i="3"/>
  <c r="L189" i="3"/>
  <c r="K189" i="3"/>
  <c r="J189" i="3"/>
  <c r="I189" i="3"/>
  <c r="N188" i="3"/>
  <c r="M188" i="3"/>
  <c r="L188" i="3"/>
  <c r="K188" i="3"/>
  <c r="J188" i="3"/>
  <c r="I188" i="3"/>
  <c r="N187" i="3"/>
  <c r="M187" i="3"/>
  <c r="L187" i="3"/>
  <c r="K187" i="3"/>
  <c r="J187" i="3"/>
  <c r="I187" i="3"/>
  <c r="N186" i="3"/>
  <c r="H73" i="23" s="1"/>
  <c r="M186" i="3"/>
  <c r="G73" i="23" s="1"/>
  <c r="L186" i="3"/>
  <c r="F73" i="23" s="1"/>
  <c r="K186" i="3"/>
  <c r="E73" i="23" s="1"/>
  <c r="J186" i="3"/>
  <c r="D73" i="23" s="1"/>
  <c r="I186" i="3"/>
  <c r="C73" i="23" s="1"/>
  <c r="N185" i="3"/>
  <c r="H72" i="23" s="1"/>
  <c r="M185" i="3"/>
  <c r="G72" i="23" s="1"/>
  <c r="L185" i="3"/>
  <c r="F72" i="23" s="1"/>
  <c r="K185" i="3"/>
  <c r="E72" i="23" s="1"/>
  <c r="J185" i="3"/>
  <c r="D72" i="23" s="1"/>
  <c r="I185" i="3"/>
  <c r="C72" i="23" s="1"/>
  <c r="N184" i="3"/>
  <c r="H71" i="23" s="1"/>
  <c r="M184" i="3"/>
  <c r="G71" i="23" s="1"/>
  <c r="L184" i="3"/>
  <c r="F71" i="23" s="1"/>
  <c r="K184" i="3"/>
  <c r="E71" i="23" s="1"/>
  <c r="J184" i="3"/>
  <c r="D71" i="23" s="1"/>
  <c r="I184" i="3"/>
  <c r="C71" i="23" s="1"/>
  <c r="N183" i="3"/>
  <c r="M183" i="3"/>
  <c r="L183" i="3"/>
  <c r="K183" i="3"/>
  <c r="J183" i="3"/>
  <c r="I183" i="3"/>
  <c r="N182" i="3"/>
  <c r="M182" i="3"/>
  <c r="L182" i="3"/>
  <c r="K182" i="3"/>
  <c r="J182" i="3"/>
  <c r="I182" i="3"/>
  <c r="N181" i="3"/>
  <c r="M181" i="3"/>
  <c r="L181" i="3"/>
  <c r="K181" i="3"/>
  <c r="J181" i="3"/>
  <c r="I181" i="3"/>
  <c r="N180" i="3"/>
  <c r="H70" i="23" s="1"/>
  <c r="M180" i="3"/>
  <c r="G70" i="23" s="1"/>
  <c r="L180" i="3"/>
  <c r="K180" i="3"/>
  <c r="E70" i="23" s="1"/>
  <c r="J180" i="3"/>
  <c r="D70" i="23" s="1"/>
  <c r="I180" i="3"/>
  <c r="C70" i="23" s="1"/>
  <c r="N178" i="3"/>
  <c r="M178" i="3"/>
  <c r="L178" i="3"/>
  <c r="K178" i="3"/>
  <c r="J178" i="3"/>
  <c r="I178" i="3"/>
  <c r="N177" i="3"/>
  <c r="M177" i="3"/>
  <c r="L177" i="3"/>
  <c r="K177" i="3"/>
  <c r="J177" i="3"/>
  <c r="I177" i="3"/>
  <c r="N176" i="3"/>
  <c r="M176" i="3"/>
  <c r="L176" i="3"/>
  <c r="K176" i="3"/>
  <c r="J176" i="3"/>
  <c r="I176" i="3"/>
  <c r="N175" i="3"/>
  <c r="M175" i="3"/>
  <c r="L175" i="3"/>
  <c r="K175" i="3"/>
  <c r="J175" i="3"/>
  <c r="I175" i="3"/>
  <c r="N174" i="3"/>
  <c r="M174" i="3"/>
  <c r="L174" i="3"/>
  <c r="K174" i="3"/>
  <c r="J174" i="3"/>
  <c r="I174" i="3"/>
  <c r="N173" i="3"/>
  <c r="M173" i="3"/>
  <c r="L173" i="3"/>
  <c r="K173" i="3"/>
  <c r="J173" i="3"/>
  <c r="I173" i="3"/>
  <c r="N172" i="3"/>
  <c r="M172" i="3"/>
  <c r="L172" i="3"/>
  <c r="K172" i="3"/>
  <c r="J172" i="3"/>
  <c r="I172" i="3"/>
  <c r="N171" i="3"/>
  <c r="M171" i="3"/>
  <c r="L171" i="3"/>
  <c r="K171" i="3"/>
  <c r="J171" i="3"/>
  <c r="I171" i="3"/>
  <c r="N170" i="3"/>
  <c r="M170" i="3"/>
  <c r="L170" i="3"/>
  <c r="K170" i="3"/>
  <c r="J170" i="3"/>
  <c r="I170" i="3"/>
  <c r="N169" i="3"/>
  <c r="M169" i="3"/>
  <c r="L169" i="3"/>
  <c r="K169" i="3"/>
  <c r="J169" i="3"/>
  <c r="I169" i="3"/>
  <c r="N167" i="3"/>
  <c r="M167" i="3"/>
  <c r="L167" i="3"/>
  <c r="K167" i="3"/>
  <c r="J167" i="3"/>
  <c r="I167" i="3"/>
  <c r="N166" i="3"/>
  <c r="M166" i="3"/>
  <c r="L166" i="3"/>
  <c r="K166" i="3"/>
  <c r="J166" i="3"/>
  <c r="I166" i="3"/>
  <c r="N165" i="3"/>
  <c r="M165" i="3"/>
  <c r="L165" i="3"/>
  <c r="K165" i="3"/>
  <c r="J165" i="3"/>
  <c r="I165" i="3"/>
  <c r="N164" i="3"/>
  <c r="M164" i="3"/>
  <c r="L164" i="3"/>
  <c r="K164" i="3"/>
  <c r="J164" i="3"/>
  <c r="I164" i="3"/>
  <c r="N160" i="3"/>
  <c r="M160" i="3"/>
  <c r="L160" i="3"/>
  <c r="K160" i="3"/>
  <c r="J160" i="3"/>
  <c r="I160" i="3"/>
  <c r="N159" i="3"/>
  <c r="M159" i="3"/>
  <c r="L159" i="3"/>
  <c r="K159" i="3"/>
  <c r="J159" i="3"/>
  <c r="I159" i="3"/>
  <c r="N157" i="3"/>
  <c r="M157" i="3"/>
  <c r="L157" i="3"/>
  <c r="K157" i="3"/>
  <c r="J157" i="3"/>
  <c r="I157" i="3"/>
  <c r="N156" i="3"/>
  <c r="M156" i="3"/>
  <c r="L156" i="3"/>
  <c r="K156" i="3"/>
  <c r="J156" i="3"/>
  <c r="I156" i="3"/>
  <c r="N154" i="3"/>
  <c r="M154" i="3"/>
  <c r="L154" i="3"/>
  <c r="K154" i="3"/>
  <c r="J154" i="3"/>
  <c r="I154" i="3"/>
  <c r="N153" i="3"/>
  <c r="M153" i="3"/>
  <c r="L153" i="3"/>
  <c r="K153" i="3"/>
  <c r="J153" i="3"/>
  <c r="I153" i="3"/>
  <c r="N152" i="3"/>
  <c r="M152" i="3"/>
  <c r="L152" i="3"/>
  <c r="K152" i="3"/>
  <c r="J152" i="3"/>
  <c r="I152" i="3"/>
  <c r="N151" i="3"/>
  <c r="M151" i="3"/>
  <c r="L151" i="3"/>
  <c r="K151" i="3"/>
  <c r="J151" i="3"/>
  <c r="I151" i="3"/>
  <c r="N149" i="3"/>
  <c r="M149" i="3"/>
  <c r="L149" i="3"/>
  <c r="K149" i="3"/>
  <c r="J149" i="3"/>
  <c r="I149" i="3"/>
  <c r="N148" i="3"/>
  <c r="M148" i="3"/>
  <c r="L148" i="3"/>
  <c r="K148" i="3"/>
  <c r="J148" i="3"/>
  <c r="I148" i="3"/>
  <c r="N147" i="3"/>
  <c r="M147" i="3"/>
  <c r="L147" i="3"/>
  <c r="K147" i="3"/>
  <c r="J147" i="3"/>
  <c r="I147" i="3"/>
  <c r="N140" i="3"/>
  <c r="M140" i="3"/>
  <c r="L140" i="3"/>
  <c r="K140" i="3"/>
  <c r="J140" i="3"/>
  <c r="I140" i="3"/>
  <c r="N139" i="3"/>
  <c r="M139" i="3"/>
  <c r="L139" i="3"/>
  <c r="K139" i="3"/>
  <c r="J139" i="3"/>
  <c r="I139" i="3"/>
  <c r="N138" i="3"/>
  <c r="M138" i="3"/>
  <c r="L138" i="3"/>
  <c r="K138" i="3"/>
  <c r="J138" i="3"/>
  <c r="I138" i="3"/>
  <c r="N136" i="3"/>
  <c r="M136" i="3"/>
  <c r="L136" i="3"/>
  <c r="K136" i="3"/>
  <c r="J136" i="3"/>
  <c r="I136" i="3"/>
  <c r="N135" i="3"/>
  <c r="M135" i="3"/>
  <c r="L135" i="3"/>
  <c r="K135" i="3"/>
  <c r="J135" i="3"/>
  <c r="I135" i="3"/>
  <c r="N134" i="3"/>
  <c r="H69" i="23" s="1"/>
  <c r="M134" i="3"/>
  <c r="L134" i="3"/>
  <c r="F69" i="23" s="1"/>
  <c r="K134" i="3"/>
  <c r="E69" i="23" s="1"/>
  <c r="J134" i="3"/>
  <c r="D69" i="23" s="1"/>
  <c r="I134" i="3"/>
  <c r="N133" i="3"/>
  <c r="M133" i="3"/>
  <c r="L133" i="3"/>
  <c r="K133" i="3"/>
  <c r="J133" i="3"/>
  <c r="I133" i="3"/>
  <c r="N131" i="3"/>
  <c r="M131" i="3"/>
  <c r="L131" i="3"/>
  <c r="K131" i="3"/>
  <c r="J131" i="3"/>
  <c r="I131" i="3"/>
  <c r="N130" i="3"/>
  <c r="M130" i="3"/>
  <c r="L130" i="3"/>
  <c r="K130" i="3"/>
  <c r="J130" i="3"/>
  <c r="I130" i="3"/>
  <c r="N129" i="3"/>
  <c r="H68" i="23" s="1"/>
  <c r="M129" i="3"/>
  <c r="G68" i="23" s="1"/>
  <c r="L129" i="3"/>
  <c r="F68" i="23" s="1"/>
  <c r="K129" i="3"/>
  <c r="E68" i="23" s="1"/>
  <c r="J129" i="3"/>
  <c r="D68" i="23" s="1"/>
  <c r="I129" i="3"/>
  <c r="C68" i="23" s="1"/>
  <c r="N128" i="3"/>
  <c r="M128" i="3"/>
  <c r="L128" i="3"/>
  <c r="K128" i="3"/>
  <c r="J128" i="3"/>
  <c r="I128" i="3"/>
  <c r="N127" i="3"/>
  <c r="M127" i="3"/>
  <c r="L127" i="3"/>
  <c r="K127" i="3"/>
  <c r="J127" i="3"/>
  <c r="I127" i="3"/>
  <c r="N126" i="3"/>
  <c r="M126" i="3"/>
  <c r="L126" i="3"/>
  <c r="K126" i="3"/>
  <c r="J126" i="3"/>
  <c r="I126" i="3"/>
  <c r="N125" i="3"/>
  <c r="M125" i="3"/>
  <c r="L125" i="3"/>
  <c r="K125" i="3"/>
  <c r="J125" i="3"/>
  <c r="I125" i="3"/>
  <c r="N124" i="3"/>
  <c r="M124" i="3"/>
  <c r="L124" i="3"/>
  <c r="K124" i="3"/>
  <c r="J124" i="3"/>
  <c r="I124" i="3"/>
  <c r="N123" i="3"/>
  <c r="M123" i="3"/>
  <c r="L123" i="3"/>
  <c r="K123" i="3"/>
  <c r="J123" i="3"/>
  <c r="I123" i="3"/>
  <c r="N121" i="3"/>
  <c r="M121" i="3"/>
  <c r="L121" i="3"/>
  <c r="K121" i="3"/>
  <c r="J121" i="3"/>
  <c r="I121" i="3"/>
  <c r="N120" i="3"/>
  <c r="M120" i="3"/>
  <c r="L120" i="3"/>
  <c r="K120" i="3"/>
  <c r="J120" i="3"/>
  <c r="I120" i="3"/>
  <c r="N119" i="3"/>
  <c r="M119" i="3"/>
  <c r="L119" i="3"/>
  <c r="K119" i="3"/>
  <c r="J119" i="3"/>
  <c r="I119" i="3"/>
  <c r="N118" i="3"/>
  <c r="M118" i="3"/>
  <c r="L118" i="3"/>
  <c r="K118" i="3"/>
  <c r="J118" i="3"/>
  <c r="I118" i="3"/>
  <c r="N117" i="3"/>
  <c r="M117" i="3"/>
  <c r="L117" i="3"/>
  <c r="K117" i="3"/>
  <c r="J117" i="3"/>
  <c r="I117" i="3"/>
  <c r="N116" i="3"/>
  <c r="M116" i="3"/>
  <c r="L116" i="3"/>
  <c r="K116" i="3"/>
  <c r="J116" i="3"/>
  <c r="I116" i="3"/>
  <c r="N115" i="3"/>
  <c r="M115" i="3"/>
  <c r="L115" i="3"/>
  <c r="K115" i="3"/>
  <c r="J115" i="3"/>
  <c r="I115" i="3"/>
  <c r="N114" i="3"/>
  <c r="M114" i="3"/>
  <c r="L114" i="3"/>
  <c r="K114" i="3"/>
  <c r="J114" i="3"/>
  <c r="I114" i="3"/>
  <c r="N112" i="3"/>
  <c r="M112" i="3"/>
  <c r="L112" i="3"/>
  <c r="K112" i="3"/>
  <c r="J112" i="3"/>
  <c r="I112" i="3"/>
  <c r="N111" i="3"/>
  <c r="H67" i="23" s="1"/>
  <c r="M111" i="3"/>
  <c r="G67" i="23" s="1"/>
  <c r="L111" i="3"/>
  <c r="F67" i="23" s="1"/>
  <c r="K111" i="3"/>
  <c r="E67" i="23" s="1"/>
  <c r="J111" i="3"/>
  <c r="D67" i="23" s="1"/>
  <c r="I111" i="3"/>
  <c r="C67" i="23" s="1"/>
  <c r="N110" i="3"/>
  <c r="M110" i="3"/>
  <c r="L110" i="3"/>
  <c r="K110" i="3"/>
  <c r="J110" i="3"/>
  <c r="I110" i="3"/>
  <c r="N109" i="3"/>
  <c r="H66" i="23" s="1"/>
  <c r="M109" i="3"/>
  <c r="G66" i="23" s="1"/>
  <c r="L109" i="3"/>
  <c r="F66" i="23" s="1"/>
  <c r="K109" i="3"/>
  <c r="E66" i="23" s="1"/>
  <c r="J109" i="3"/>
  <c r="D66" i="23" s="1"/>
  <c r="I109" i="3"/>
  <c r="C66" i="23" s="1"/>
  <c r="N108" i="3"/>
  <c r="H65" i="23" s="1"/>
  <c r="M108" i="3"/>
  <c r="G65" i="23" s="1"/>
  <c r="L108" i="3"/>
  <c r="F65" i="23" s="1"/>
  <c r="K108" i="3"/>
  <c r="J108" i="3"/>
  <c r="D65" i="23" s="1"/>
  <c r="I108" i="3"/>
  <c r="C65" i="23" s="1"/>
  <c r="N107" i="3"/>
  <c r="M107" i="3"/>
  <c r="G64" i="23" s="1"/>
  <c r="L107" i="3"/>
  <c r="F64" i="23" s="1"/>
  <c r="K107" i="3"/>
  <c r="E64" i="23" s="1"/>
  <c r="J107" i="3"/>
  <c r="I107" i="3"/>
  <c r="C64" i="23" s="1"/>
  <c r="N104" i="3"/>
  <c r="M104" i="3"/>
  <c r="L104" i="3"/>
  <c r="K104" i="3"/>
  <c r="J104" i="3"/>
  <c r="I104" i="3"/>
  <c r="N103" i="3"/>
  <c r="M103" i="3"/>
  <c r="L103" i="3"/>
  <c r="K103" i="3"/>
  <c r="J103" i="3"/>
  <c r="I103" i="3"/>
  <c r="N102" i="3"/>
  <c r="M102" i="3"/>
  <c r="L102" i="3"/>
  <c r="K102" i="3"/>
  <c r="J102" i="3"/>
  <c r="I102" i="3"/>
  <c r="N101" i="3"/>
  <c r="M101" i="3"/>
  <c r="L101" i="3"/>
  <c r="K101" i="3"/>
  <c r="J101" i="3"/>
  <c r="I101" i="3"/>
  <c r="N100" i="3"/>
  <c r="M100" i="3"/>
  <c r="L100" i="3"/>
  <c r="K100" i="3"/>
  <c r="J100" i="3"/>
  <c r="I100" i="3"/>
  <c r="N99" i="3"/>
  <c r="M99" i="3"/>
  <c r="L99" i="3"/>
  <c r="K99" i="3"/>
  <c r="J99" i="3"/>
  <c r="I99" i="3"/>
  <c r="N98" i="3"/>
  <c r="M98" i="3"/>
  <c r="L98" i="3"/>
  <c r="K98" i="3"/>
  <c r="J98" i="3"/>
  <c r="I98" i="3"/>
  <c r="N96" i="3"/>
  <c r="M96" i="3"/>
  <c r="L96" i="3"/>
  <c r="K96" i="3"/>
  <c r="J96" i="3"/>
  <c r="I96" i="3"/>
  <c r="N95" i="3"/>
  <c r="M95" i="3"/>
  <c r="L95" i="3"/>
  <c r="K95" i="3"/>
  <c r="J95" i="3"/>
  <c r="I95" i="3"/>
  <c r="N94" i="3"/>
  <c r="M94" i="3"/>
  <c r="L94" i="3"/>
  <c r="K94" i="3"/>
  <c r="J94" i="3"/>
  <c r="I94" i="3"/>
  <c r="N93" i="3"/>
  <c r="M93" i="3"/>
  <c r="L93" i="3"/>
  <c r="K93" i="3"/>
  <c r="J93" i="3"/>
  <c r="I93" i="3"/>
  <c r="N92" i="3"/>
  <c r="M92" i="3"/>
  <c r="L92" i="3"/>
  <c r="K92" i="3"/>
  <c r="J92" i="3"/>
  <c r="I92" i="3"/>
  <c r="N91" i="3"/>
  <c r="M91" i="3"/>
  <c r="L91" i="3"/>
  <c r="K91" i="3"/>
  <c r="J91" i="3"/>
  <c r="I91" i="3"/>
  <c r="N90" i="3"/>
  <c r="M90" i="3"/>
  <c r="L90" i="3"/>
  <c r="K90" i="3"/>
  <c r="J90" i="3"/>
  <c r="I90" i="3"/>
  <c r="N89" i="3"/>
  <c r="M89" i="3"/>
  <c r="L89" i="3"/>
  <c r="K89" i="3"/>
  <c r="J89" i="3"/>
  <c r="I89" i="3"/>
  <c r="N88" i="3"/>
  <c r="M88" i="3"/>
  <c r="L88" i="3"/>
  <c r="K88" i="3"/>
  <c r="J88" i="3"/>
  <c r="I88" i="3"/>
  <c r="N86" i="3"/>
  <c r="M86" i="3"/>
  <c r="L86" i="3"/>
  <c r="K86" i="3"/>
  <c r="J86" i="3"/>
  <c r="I86" i="3"/>
  <c r="N85" i="3"/>
  <c r="M85" i="3"/>
  <c r="L85" i="3"/>
  <c r="K85" i="3"/>
  <c r="J85" i="3"/>
  <c r="I85" i="3"/>
  <c r="N84" i="3"/>
  <c r="M84" i="3"/>
  <c r="L84" i="3"/>
  <c r="K84" i="3"/>
  <c r="J84" i="3"/>
  <c r="I84" i="3"/>
  <c r="N83" i="3"/>
  <c r="M83" i="3"/>
  <c r="L83" i="3"/>
  <c r="K83" i="3"/>
  <c r="J83" i="3"/>
  <c r="I83" i="3"/>
  <c r="N82" i="3"/>
  <c r="M82" i="3"/>
  <c r="L82" i="3"/>
  <c r="K82" i="3"/>
  <c r="J82" i="3"/>
  <c r="I82" i="3"/>
  <c r="N81" i="3"/>
  <c r="M81" i="3"/>
  <c r="L81" i="3"/>
  <c r="K81" i="3"/>
  <c r="J81" i="3"/>
  <c r="I81" i="3"/>
  <c r="N80" i="3"/>
  <c r="M80" i="3"/>
  <c r="L80" i="3"/>
  <c r="K80" i="3"/>
  <c r="J80" i="3"/>
  <c r="I80" i="3"/>
  <c r="N79" i="3"/>
  <c r="M79" i="3"/>
  <c r="L79" i="3"/>
  <c r="K79" i="3"/>
  <c r="J79" i="3"/>
  <c r="I79" i="3"/>
  <c r="N76" i="3"/>
  <c r="M76" i="3"/>
  <c r="L76" i="3"/>
  <c r="K76" i="3"/>
  <c r="J76" i="3"/>
  <c r="I76" i="3"/>
  <c r="D74" i="29"/>
  <c r="E74" i="29" s="1"/>
  <c r="F74" i="29" s="1"/>
  <c r="G74" i="29" s="1"/>
  <c r="H74" i="29" s="1"/>
  <c r="I74" i="29" s="1"/>
  <c r="J74" i="29" s="1"/>
  <c r="K74" i="29" s="1"/>
  <c r="L74" i="29" s="1"/>
  <c r="M74" i="29" s="1"/>
  <c r="N74" i="29" s="1"/>
  <c r="O74" i="29" s="1"/>
  <c r="P74" i="29" s="1"/>
  <c r="Q74" i="29" s="1"/>
  <c r="R74" i="29" s="1"/>
  <c r="S74" i="29" s="1"/>
  <c r="T74" i="29" s="1"/>
  <c r="U74" i="29" s="1"/>
  <c r="N62" i="3"/>
  <c r="M62" i="3"/>
  <c r="L62" i="3"/>
  <c r="K62" i="3"/>
  <c r="J62" i="3"/>
  <c r="I62" i="3"/>
  <c r="N60" i="3"/>
  <c r="M60" i="3"/>
  <c r="L60" i="3"/>
  <c r="K60" i="3"/>
  <c r="J60" i="3"/>
  <c r="I60" i="3"/>
  <c r="N59" i="3"/>
  <c r="M59" i="3"/>
  <c r="L59" i="3"/>
  <c r="K59" i="3"/>
  <c r="J59" i="3"/>
  <c r="I59" i="3"/>
  <c r="N58" i="3"/>
  <c r="M58" i="3"/>
  <c r="L58" i="3"/>
  <c r="K58" i="3"/>
  <c r="J58" i="3"/>
  <c r="I58" i="3"/>
  <c r="N57" i="3"/>
  <c r="M57" i="3"/>
  <c r="L57" i="3"/>
  <c r="K57" i="3"/>
  <c r="J57" i="3"/>
  <c r="I57" i="3"/>
  <c r="N56" i="3"/>
  <c r="M56" i="3"/>
  <c r="L56" i="3"/>
  <c r="K56" i="3"/>
  <c r="J56" i="3"/>
  <c r="I56" i="3"/>
  <c r="N54" i="3"/>
  <c r="M54" i="3"/>
  <c r="L54" i="3"/>
  <c r="K54" i="3"/>
  <c r="J54" i="3"/>
  <c r="I54" i="3"/>
  <c r="N53" i="3"/>
  <c r="M53" i="3"/>
  <c r="L53" i="3"/>
  <c r="K53" i="3"/>
  <c r="J53" i="3"/>
  <c r="I53" i="3"/>
  <c r="N50" i="3"/>
  <c r="M50" i="3"/>
  <c r="L50" i="3"/>
  <c r="K50" i="3"/>
  <c r="J50" i="3"/>
  <c r="I50" i="3"/>
  <c r="N49" i="3"/>
  <c r="M49" i="3"/>
  <c r="L49" i="3"/>
  <c r="K49" i="3"/>
  <c r="J49" i="3"/>
  <c r="I49" i="3"/>
  <c r="N48" i="3"/>
  <c r="M48" i="3"/>
  <c r="L48" i="3"/>
  <c r="K48" i="3"/>
  <c r="J48" i="3"/>
  <c r="I48" i="3"/>
  <c r="N47" i="3"/>
  <c r="M47" i="3"/>
  <c r="L47" i="3"/>
  <c r="K47" i="3"/>
  <c r="J47" i="3"/>
  <c r="I47" i="3"/>
  <c r="N46" i="3"/>
  <c r="M46" i="3"/>
  <c r="L46" i="3"/>
  <c r="K46" i="3"/>
  <c r="J46" i="3"/>
  <c r="I46" i="3"/>
  <c r="N45" i="3"/>
  <c r="M45" i="3"/>
  <c r="L45" i="3"/>
  <c r="K45" i="3"/>
  <c r="J45" i="3"/>
  <c r="I45" i="3"/>
  <c r="N44" i="3"/>
  <c r="M44" i="3"/>
  <c r="L44" i="3"/>
  <c r="K44" i="3"/>
  <c r="J44" i="3"/>
  <c r="I44" i="3"/>
  <c r="N43" i="3"/>
  <c r="M43" i="3"/>
  <c r="L43" i="3"/>
  <c r="K43" i="3"/>
  <c r="J43" i="3"/>
  <c r="I43" i="3"/>
  <c r="N42" i="3"/>
  <c r="M42" i="3"/>
  <c r="L42" i="3"/>
  <c r="K42" i="3"/>
  <c r="J42" i="3"/>
  <c r="I42" i="3"/>
  <c r="N41" i="3"/>
  <c r="M41" i="3"/>
  <c r="L41" i="3"/>
  <c r="K41" i="3"/>
  <c r="J41" i="3"/>
  <c r="I41" i="3"/>
  <c r="N40" i="3"/>
  <c r="M40" i="3"/>
  <c r="L40" i="3"/>
  <c r="K40" i="3"/>
  <c r="J40" i="3"/>
  <c r="I40" i="3"/>
  <c r="N39" i="3"/>
  <c r="M39" i="3"/>
  <c r="L39" i="3"/>
  <c r="K39" i="3"/>
  <c r="J39" i="3"/>
  <c r="I39" i="3"/>
  <c r="N38" i="3"/>
  <c r="M38" i="3"/>
  <c r="L38" i="3"/>
  <c r="K38" i="3"/>
  <c r="J38" i="3"/>
  <c r="I38" i="3"/>
  <c r="N37" i="3"/>
  <c r="M37" i="3"/>
  <c r="L37" i="3"/>
  <c r="K37" i="3"/>
  <c r="J37" i="3"/>
  <c r="I37" i="3"/>
  <c r="N36" i="3"/>
  <c r="M36" i="3"/>
  <c r="L36" i="3"/>
  <c r="K36" i="3"/>
  <c r="J36" i="3"/>
  <c r="I36" i="3"/>
  <c r="N35" i="3"/>
  <c r="M35" i="3"/>
  <c r="L35" i="3"/>
  <c r="K35" i="3"/>
  <c r="J35" i="3"/>
  <c r="I35" i="3"/>
  <c r="N34" i="3"/>
  <c r="M34" i="3"/>
  <c r="L34" i="3"/>
  <c r="K34" i="3"/>
  <c r="J34" i="3"/>
  <c r="I34" i="3"/>
  <c r="N32" i="3"/>
  <c r="M32" i="3"/>
  <c r="L32" i="3"/>
  <c r="K32" i="3"/>
  <c r="J32" i="3"/>
  <c r="I32" i="3"/>
  <c r="N31" i="3"/>
  <c r="M31" i="3"/>
  <c r="L31" i="3"/>
  <c r="K31" i="3"/>
  <c r="J31" i="3"/>
  <c r="I31" i="3"/>
  <c r="N30" i="3"/>
  <c r="M30" i="3"/>
  <c r="L30" i="3"/>
  <c r="K30" i="3"/>
  <c r="J30" i="3"/>
  <c r="I30" i="3"/>
  <c r="N29" i="3"/>
  <c r="M29" i="3"/>
  <c r="L29" i="3"/>
  <c r="K29" i="3"/>
  <c r="J29" i="3"/>
  <c r="I29" i="3"/>
  <c r="N28" i="3"/>
  <c r="M28" i="3"/>
  <c r="L28" i="3"/>
  <c r="K28" i="3"/>
  <c r="J28" i="3"/>
  <c r="I28" i="3"/>
  <c r="N27" i="3"/>
  <c r="M27" i="3"/>
  <c r="L27" i="3"/>
  <c r="K27" i="3"/>
  <c r="J27" i="3"/>
  <c r="I27" i="3"/>
  <c r="N26" i="3"/>
  <c r="M26" i="3"/>
  <c r="L26" i="3"/>
  <c r="K26" i="3"/>
  <c r="J26" i="3"/>
  <c r="I26" i="3"/>
  <c r="N24" i="3"/>
  <c r="M24" i="3"/>
  <c r="L24" i="3"/>
  <c r="K24" i="3"/>
  <c r="J24" i="3"/>
  <c r="I24" i="3"/>
  <c r="N23" i="3"/>
  <c r="M23" i="3"/>
  <c r="L23" i="3"/>
  <c r="K23" i="3"/>
  <c r="J23" i="3"/>
  <c r="I23" i="3"/>
  <c r="N21" i="3"/>
  <c r="H53" i="22" s="1"/>
  <c r="M21" i="3"/>
  <c r="G53" i="22" s="1"/>
  <c r="L21" i="3"/>
  <c r="F53" i="22" s="1"/>
  <c r="K21" i="3"/>
  <c r="E53" i="22" s="1"/>
  <c r="J21" i="3"/>
  <c r="D53" i="22" s="1"/>
  <c r="I21" i="3"/>
  <c r="C53" i="22" s="1"/>
  <c r="N20" i="3"/>
  <c r="H52" i="22" s="1"/>
  <c r="M20" i="3"/>
  <c r="G52" i="22" s="1"/>
  <c r="L20" i="3"/>
  <c r="F52" i="22" s="1"/>
  <c r="K20" i="3"/>
  <c r="E52" i="22" s="1"/>
  <c r="J20" i="3"/>
  <c r="D52" i="22" s="1"/>
  <c r="I20" i="3"/>
  <c r="C52" i="22" s="1"/>
  <c r="N19" i="3"/>
  <c r="M19" i="3"/>
  <c r="L19" i="3"/>
  <c r="K19" i="3"/>
  <c r="J19" i="3"/>
  <c r="I19" i="3"/>
  <c r="N18" i="3"/>
  <c r="M18" i="3"/>
  <c r="L18" i="3"/>
  <c r="K18" i="3"/>
  <c r="J18" i="3"/>
  <c r="I18" i="3"/>
  <c r="N17" i="3"/>
  <c r="M17" i="3"/>
  <c r="L17" i="3"/>
  <c r="K17" i="3"/>
  <c r="J17" i="3"/>
  <c r="I17" i="3"/>
  <c r="N16" i="3"/>
  <c r="M16" i="3"/>
  <c r="L16" i="3"/>
  <c r="K16" i="3"/>
  <c r="J16" i="3"/>
  <c r="I16" i="3"/>
  <c r="N13" i="3"/>
  <c r="H50" i="22" s="1"/>
  <c r="M13" i="3"/>
  <c r="L13" i="3"/>
  <c r="K13" i="3"/>
  <c r="E50" i="22" s="1"/>
  <c r="J13" i="3"/>
  <c r="I13" i="3"/>
  <c r="N12" i="3"/>
  <c r="M12" i="3"/>
  <c r="G49" i="22" s="1"/>
  <c r="L12" i="3"/>
  <c r="F49" i="22" s="1"/>
  <c r="K12" i="3"/>
  <c r="J12" i="3"/>
  <c r="I12" i="3"/>
  <c r="C49" i="22" s="1"/>
  <c r="N10" i="3"/>
  <c r="M10" i="3"/>
  <c r="L10" i="3"/>
  <c r="K10" i="3"/>
  <c r="J10" i="3"/>
  <c r="I10" i="3"/>
  <c r="N9" i="3"/>
  <c r="M9" i="3"/>
  <c r="L9" i="3"/>
  <c r="K9" i="3"/>
  <c r="J9" i="3"/>
  <c r="I9" i="3"/>
  <c r="N8" i="3"/>
  <c r="M8" i="3"/>
  <c r="L8" i="3"/>
  <c r="K8" i="3"/>
  <c r="J8" i="3"/>
  <c r="I8" i="3"/>
  <c r="N5" i="3"/>
  <c r="H48" i="22" s="1"/>
  <c r="M5" i="3"/>
  <c r="G48" i="22" s="1"/>
  <c r="L5" i="3"/>
  <c r="F48" i="22" s="1"/>
  <c r="K5" i="3"/>
  <c r="J5" i="3"/>
  <c r="D48" i="22" s="1"/>
  <c r="I5" i="3"/>
  <c r="C48" i="22" s="1"/>
  <c r="N4" i="3"/>
  <c r="M4" i="3"/>
  <c r="L4" i="3"/>
  <c r="K4" i="3"/>
  <c r="J4" i="3"/>
  <c r="I4" i="3"/>
  <c r="I3" i="3"/>
  <c r="D8" i="29"/>
  <c r="E8" i="29" s="1"/>
  <c r="F8" i="29" s="1"/>
  <c r="G8" i="29" s="1"/>
  <c r="H8" i="29" s="1"/>
  <c r="I8" i="29" s="1"/>
  <c r="J8" i="29" s="1"/>
  <c r="K8" i="29" s="1"/>
  <c r="L8" i="29" s="1"/>
  <c r="M8" i="29" s="1"/>
  <c r="N8" i="29" s="1"/>
  <c r="O8" i="29" s="1"/>
  <c r="P8" i="29" s="1"/>
  <c r="Q8" i="29" s="1"/>
  <c r="R8" i="29" s="1"/>
  <c r="S8" i="29" s="1"/>
  <c r="T8" i="29" s="1"/>
  <c r="U8" i="29" s="1"/>
  <c r="E65" i="23"/>
  <c r="C210" i="3"/>
  <c r="C211" i="3" s="1"/>
  <c r="C212" i="3" s="1"/>
  <c r="C213" i="3" s="1"/>
  <c r="C216" i="3"/>
  <c r="C217" i="3" s="1"/>
  <c r="F35" i="28"/>
  <c r="C229" i="3"/>
  <c r="C232" i="3"/>
  <c r="C233" i="3" s="1"/>
  <c r="C80" i="22"/>
  <c r="C81" i="22"/>
  <c r="C87" i="22"/>
  <c r="D87" i="22"/>
  <c r="E87" i="22"/>
  <c r="F87" i="22"/>
  <c r="G87" i="22"/>
  <c r="D81" i="22" l="1"/>
  <c r="G81" i="22"/>
  <c r="O14" i="26"/>
  <c r="O15" i="26"/>
  <c r="O18" i="26"/>
  <c r="N5" i="24"/>
  <c r="O34" i="26"/>
  <c r="O37" i="26" s="1"/>
  <c r="O45" i="26" s="1"/>
  <c r="O25" i="26"/>
  <c r="O24" i="26"/>
  <c r="O16" i="26"/>
  <c r="O17" i="26"/>
  <c r="O6" i="26"/>
  <c r="O7" i="26"/>
  <c r="K6" i="22"/>
  <c r="K19" i="22" s="1"/>
  <c r="E81" i="22"/>
  <c r="J240" i="29"/>
  <c r="J241" i="29" s="1"/>
  <c r="K240" i="29"/>
  <c r="K241" i="29" s="1"/>
  <c r="I163" i="3"/>
  <c r="I43" i="22"/>
  <c r="J150" i="3"/>
  <c r="M87" i="3"/>
  <c r="K113" i="3"/>
  <c r="I137" i="3"/>
  <c r="I155" i="3"/>
  <c r="K163" i="3"/>
  <c r="Q200" i="3"/>
  <c r="G240" i="29"/>
  <c r="G241" i="29" s="1"/>
  <c r="G8" i="23"/>
  <c r="L23" i="26"/>
  <c r="L5" i="26"/>
  <c r="L33" i="26"/>
  <c r="L9" i="26"/>
  <c r="J42" i="22"/>
  <c r="J43" i="22"/>
  <c r="J44" i="22"/>
  <c r="I42" i="22"/>
  <c r="Q55" i="3"/>
  <c r="Q63" i="3" s="1"/>
  <c r="L10" i="21" s="1"/>
  <c r="K7" i="24" s="1"/>
  <c r="M191" i="3"/>
  <c r="K11" i="22"/>
  <c r="O162" i="3"/>
  <c r="J4" i="21" s="1"/>
  <c r="I58" i="22"/>
  <c r="L17" i="21"/>
  <c r="D12" i="25"/>
  <c r="L26" i="26"/>
  <c r="M9" i="22"/>
  <c r="M7" i="22"/>
  <c r="M20" i="22" s="1"/>
  <c r="N9" i="21"/>
  <c r="S207" i="3"/>
  <c r="S222" i="3" s="1"/>
  <c r="S71" i="3"/>
  <c r="M3" i="24"/>
  <c r="N5" i="25"/>
  <c r="T199" i="3"/>
  <c r="N158" i="3"/>
  <c r="J195" i="3"/>
  <c r="N195" i="3"/>
  <c r="S144" i="3"/>
  <c r="M4" i="25"/>
  <c r="M40" i="25" s="1"/>
  <c r="N3" i="21"/>
  <c r="M6" i="25"/>
  <c r="N24" i="21"/>
  <c r="M10" i="22"/>
  <c r="M6" i="24"/>
  <c r="M7" i="24"/>
  <c r="F81" i="22"/>
  <c r="L35" i="26"/>
  <c r="K3" i="25"/>
  <c r="K17" i="25" s="1"/>
  <c r="M34" i="28"/>
  <c r="M3" i="28"/>
  <c r="T235" i="3"/>
  <c r="N4" i="24"/>
  <c r="N32" i="24" s="1"/>
  <c r="O18" i="21"/>
  <c r="E12" i="22"/>
  <c r="R55" i="3"/>
  <c r="R63" i="3" s="1"/>
  <c r="M8" i="21"/>
  <c r="M23" i="21" s="1"/>
  <c r="N71" i="21" s="1"/>
  <c r="L6" i="22"/>
  <c r="L19" i="22" s="1"/>
  <c r="L11" i="22"/>
  <c r="F12" i="22"/>
  <c r="I11" i="25"/>
  <c r="I44" i="22"/>
  <c r="H81" i="22"/>
  <c r="C12" i="22"/>
  <c r="G12" i="22"/>
  <c r="I6" i="23"/>
  <c r="L10" i="25"/>
  <c r="D12" i="22"/>
  <c r="H12" i="22"/>
  <c r="J14" i="21"/>
  <c r="I7" i="23"/>
  <c r="I9" i="23" s="1"/>
  <c r="P14" i="3"/>
  <c r="J5" i="22" s="1"/>
  <c r="J18" i="22" s="1"/>
  <c r="J21" i="21"/>
  <c r="J8" i="26"/>
  <c r="I14" i="25"/>
  <c r="I61" i="25" s="1"/>
  <c r="M70" i="21"/>
  <c r="M35" i="26"/>
  <c r="L7" i="25"/>
  <c r="L3" i="25"/>
  <c r="L17" i="25" s="1"/>
  <c r="M26" i="26"/>
  <c r="M17" i="21"/>
  <c r="M9" i="26"/>
  <c r="M33" i="26"/>
  <c r="R200" i="3"/>
  <c r="M23" i="26"/>
  <c r="M5" i="26"/>
  <c r="L36" i="23"/>
  <c r="K8" i="22"/>
  <c r="K21" i="22" s="1"/>
  <c r="K36" i="23"/>
  <c r="P162" i="3"/>
  <c r="K4" i="21" s="1"/>
  <c r="J51" i="22"/>
  <c r="J58" i="22" s="1"/>
  <c r="K13" i="21"/>
  <c r="J4" i="22"/>
  <c r="J17" i="22" s="1"/>
  <c r="K6" i="21"/>
  <c r="K21" i="21"/>
  <c r="L69" i="21" s="1"/>
  <c r="K80" i="22" s="1"/>
  <c r="K8" i="26"/>
  <c r="K28" i="26"/>
  <c r="J14" i="25"/>
  <c r="J61" i="25" s="1"/>
  <c r="P77" i="3"/>
  <c r="P105" i="3"/>
  <c r="J11" i="25"/>
  <c r="J3" i="23"/>
  <c r="J6" i="23" s="1"/>
  <c r="K14" i="21"/>
  <c r="J7" i="23"/>
  <c r="J9" i="23" s="1"/>
  <c r="H240" i="29"/>
  <c r="H241" i="29" s="1"/>
  <c r="M106" i="3"/>
  <c r="G3" i="23" s="1"/>
  <c r="O77" i="3"/>
  <c r="O14" i="3"/>
  <c r="J6" i="21"/>
  <c r="O105" i="3"/>
  <c r="J13" i="21"/>
  <c r="M179" i="3"/>
  <c r="G7" i="23" s="1"/>
  <c r="E12" i="25"/>
  <c r="I78" i="3"/>
  <c r="M78" i="3"/>
  <c r="K78" i="3"/>
  <c r="I87" i="3"/>
  <c r="K87" i="3"/>
  <c r="K97" i="3"/>
  <c r="I97" i="3"/>
  <c r="M97" i="3"/>
  <c r="K106" i="3"/>
  <c r="E3" i="23" s="1"/>
  <c r="I113" i="3"/>
  <c r="M113" i="3"/>
  <c r="I122" i="3"/>
  <c r="D13" i="21" s="1"/>
  <c r="M122" i="3"/>
  <c r="H13" i="21" s="1"/>
  <c r="K122" i="3"/>
  <c r="E4" i="23" s="1"/>
  <c r="K132" i="3"/>
  <c r="E5" i="23" s="1"/>
  <c r="I132" i="3"/>
  <c r="C5" i="23" s="1"/>
  <c r="M132" i="3"/>
  <c r="G5" i="23" s="1"/>
  <c r="K137" i="3"/>
  <c r="M137" i="3"/>
  <c r="I146" i="3"/>
  <c r="M146" i="3"/>
  <c r="K146" i="3"/>
  <c r="K150" i="3"/>
  <c r="I150" i="3"/>
  <c r="M150" i="3"/>
  <c r="K155" i="3"/>
  <c r="M155" i="3"/>
  <c r="K158" i="3"/>
  <c r="I158" i="3"/>
  <c r="M158" i="3"/>
  <c r="M163" i="3"/>
  <c r="K168" i="3"/>
  <c r="I168" i="3"/>
  <c r="M168" i="3"/>
  <c r="I179" i="3"/>
  <c r="D14" i="21" s="1"/>
  <c r="I191" i="3"/>
  <c r="K191" i="3"/>
  <c r="K195" i="3"/>
  <c r="F12" i="25"/>
  <c r="J78" i="3"/>
  <c r="N78" i="3"/>
  <c r="L78" i="3"/>
  <c r="J87" i="3"/>
  <c r="N87" i="3"/>
  <c r="L87" i="3"/>
  <c r="L97" i="3"/>
  <c r="J97" i="3"/>
  <c r="N97" i="3"/>
  <c r="J106" i="3"/>
  <c r="D3" i="23" s="1"/>
  <c r="N106" i="3"/>
  <c r="H3" i="23" s="1"/>
  <c r="J113" i="3"/>
  <c r="N113" i="3"/>
  <c r="L113" i="3"/>
  <c r="J122" i="3"/>
  <c r="D4" i="23" s="1"/>
  <c r="N122" i="3"/>
  <c r="H4" i="23" s="1"/>
  <c r="L122" i="3"/>
  <c r="F4" i="23" s="1"/>
  <c r="L132" i="3"/>
  <c r="F5" i="23" s="1"/>
  <c r="L137" i="3"/>
  <c r="J137" i="3"/>
  <c r="N137" i="3"/>
  <c r="J146" i="3"/>
  <c r="N146" i="3"/>
  <c r="L146" i="3"/>
  <c r="L150" i="3"/>
  <c r="N150" i="3"/>
  <c r="L155" i="3"/>
  <c r="J155" i="3"/>
  <c r="N155" i="3"/>
  <c r="L158" i="3"/>
  <c r="J158" i="3"/>
  <c r="L163" i="3"/>
  <c r="J163" i="3"/>
  <c r="N163" i="3"/>
  <c r="L168" i="3"/>
  <c r="J168" i="3"/>
  <c r="N168" i="3"/>
  <c r="L179" i="3"/>
  <c r="G14" i="21" s="1"/>
  <c r="F32" i="23" s="1"/>
  <c r="J179" i="3"/>
  <c r="E14" i="21" s="1"/>
  <c r="N179" i="3"/>
  <c r="I14" i="21" s="1"/>
  <c r="J191" i="3"/>
  <c r="N191" i="3"/>
  <c r="L191" i="3"/>
  <c r="D8" i="23"/>
  <c r="L195" i="3"/>
  <c r="D13" i="26"/>
  <c r="C39" i="25"/>
  <c r="K179" i="3"/>
  <c r="F14" i="21" s="1"/>
  <c r="E32" i="23" s="1"/>
  <c r="E8" i="23"/>
  <c r="C35" i="28"/>
  <c r="I195" i="3"/>
  <c r="M195" i="3"/>
  <c r="G35" i="28"/>
  <c r="E35" i="28"/>
  <c r="C2" i="22"/>
  <c r="D2" i="21"/>
  <c r="G13" i="21"/>
  <c r="E36" i="28"/>
  <c r="G36" i="28"/>
  <c r="C8" i="23"/>
  <c r="H8" i="23"/>
  <c r="I106" i="3"/>
  <c r="C3" i="23" s="1"/>
  <c r="E74" i="23"/>
  <c r="G69" i="23"/>
  <c r="C69" i="23"/>
  <c r="G12" i="25"/>
  <c r="N132" i="3"/>
  <c r="H5" i="23" s="1"/>
  <c r="J132" i="3"/>
  <c r="D5" i="23" s="1"/>
  <c r="F74" i="23"/>
  <c r="F70" i="23"/>
  <c r="D7" i="23"/>
  <c r="L106" i="3"/>
  <c r="F3" i="23" s="1"/>
  <c r="H64" i="23"/>
  <c r="D64" i="23"/>
  <c r="F8" i="23"/>
  <c r="H12" i="25"/>
  <c r="E3" i="22"/>
  <c r="I6" i="3"/>
  <c r="C4" i="22" s="1"/>
  <c r="C17" i="22" s="1"/>
  <c r="K6" i="3"/>
  <c r="F6" i="21" s="1"/>
  <c r="I7" i="3"/>
  <c r="D5" i="21" s="1"/>
  <c r="D21" i="21" s="1"/>
  <c r="M7" i="3"/>
  <c r="H5" i="21" s="1"/>
  <c r="K7" i="3"/>
  <c r="F5" i="21" s="1"/>
  <c r="K11" i="3"/>
  <c r="I11" i="3"/>
  <c r="M11" i="3"/>
  <c r="K15" i="3"/>
  <c r="E51" i="22" s="1"/>
  <c r="I15" i="3"/>
  <c r="C51" i="22" s="1"/>
  <c r="M15" i="3"/>
  <c r="G51" i="22" s="1"/>
  <c r="K22" i="3"/>
  <c r="I22" i="3"/>
  <c r="M22" i="3"/>
  <c r="K25" i="3"/>
  <c r="I25" i="3"/>
  <c r="C54" i="22" s="1"/>
  <c r="M25" i="3"/>
  <c r="G54" i="22" s="1"/>
  <c r="I51" i="3"/>
  <c r="M51" i="3"/>
  <c r="K51" i="3"/>
  <c r="C55" i="22"/>
  <c r="G55" i="22"/>
  <c r="K52" i="3"/>
  <c r="E57" i="22" s="1"/>
  <c r="I52" i="3"/>
  <c r="C57" i="22" s="1"/>
  <c r="M52" i="3"/>
  <c r="G57" i="22" s="1"/>
  <c r="K61" i="3"/>
  <c r="C56" i="22"/>
  <c r="M61" i="3"/>
  <c r="E56" i="22"/>
  <c r="M6" i="3"/>
  <c r="H6" i="21" s="1"/>
  <c r="J7" i="3"/>
  <c r="E5" i="21" s="1"/>
  <c r="L15" i="3"/>
  <c r="F51" i="22" s="1"/>
  <c r="J15" i="3"/>
  <c r="D51" i="22" s="1"/>
  <c r="L22" i="3"/>
  <c r="L61" i="3"/>
  <c r="E55" i="22"/>
  <c r="N22" i="3"/>
  <c r="L25" i="3"/>
  <c r="F54" i="22" s="1"/>
  <c r="E48" i="22"/>
  <c r="J51" i="3"/>
  <c r="N11" i="3"/>
  <c r="F36" i="28"/>
  <c r="L6" i="3"/>
  <c r="F4" i="22" s="1"/>
  <c r="F17" i="22" s="1"/>
  <c r="G56" i="22"/>
  <c r="G50" i="22"/>
  <c r="D36" i="28"/>
  <c r="I74" i="3"/>
  <c r="I143" i="3" s="1"/>
  <c r="D48" i="21"/>
  <c r="D55" i="22"/>
  <c r="E49" i="22"/>
  <c r="G3" i="22"/>
  <c r="G42" i="22" s="1"/>
  <c r="C36" i="28"/>
  <c r="I61" i="3"/>
  <c r="J3" i="3"/>
  <c r="H55" i="22"/>
  <c r="L52" i="3"/>
  <c r="F57" i="22" s="1"/>
  <c r="N52" i="3"/>
  <c r="H57" i="22" s="1"/>
  <c r="D56" i="22"/>
  <c r="H56" i="22"/>
  <c r="F56" i="22"/>
  <c r="C12" i="25"/>
  <c r="C50" i="22"/>
  <c r="C3" i="22"/>
  <c r="C43" i="22" s="1"/>
  <c r="L7" i="3"/>
  <c r="G5" i="21" s="1"/>
  <c r="J11" i="3"/>
  <c r="N15" i="3"/>
  <c r="H51" i="22" s="1"/>
  <c r="J22" i="3"/>
  <c r="J25" i="3"/>
  <c r="D54" i="22" s="1"/>
  <c r="N25" i="3"/>
  <c r="H54" i="22" s="1"/>
  <c r="L51" i="3"/>
  <c r="J52" i="3"/>
  <c r="D57" i="22" s="1"/>
  <c r="J61" i="3"/>
  <c r="N61" i="3"/>
  <c r="D20" i="21"/>
  <c r="C2" i="24"/>
  <c r="D22" i="26"/>
  <c r="C16" i="25"/>
  <c r="N7" i="3"/>
  <c r="I5" i="21" s="1"/>
  <c r="N51" i="3"/>
  <c r="F55" i="22"/>
  <c r="C31" i="23"/>
  <c r="D3" i="26"/>
  <c r="D41" i="26"/>
  <c r="C79" i="22"/>
  <c r="F50" i="22"/>
  <c r="H49" i="22"/>
  <c r="D49" i="22"/>
  <c r="C47" i="22"/>
  <c r="C41" i="22"/>
  <c r="C16" i="22"/>
  <c r="F3" i="22"/>
  <c r="F45" i="22" s="1"/>
  <c r="L11" i="3"/>
  <c r="J6" i="3"/>
  <c r="D68" i="21"/>
  <c r="C12" i="23"/>
  <c r="D32" i="26"/>
  <c r="C60" i="25"/>
  <c r="C2" i="25"/>
  <c r="D3" i="22"/>
  <c r="D43" i="22" s="1"/>
  <c r="D50" i="22"/>
  <c r="H3" i="22"/>
  <c r="H43" i="22" s="1"/>
  <c r="N6" i="3"/>
  <c r="C31" i="24"/>
  <c r="C63" i="23"/>
  <c r="C2" i="23"/>
  <c r="T49" i="21" l="1"/>
  <c r="U49" i="21"/>
  <c r="E45" i="22"/>
  <c r="V6" i="22"/>
  <c r="O29" i="26"/>
  <c r="O44" i="26" s="1"/>
  <c r="R49" i="21"/>
  <c r="S49" i="21"/>
  <c r="N18" i="26"/>
  <c r="N14" i="26"/>
  <c r="N15" i="26"/>
  <c r="O19" i="26"/>
  <c r="O43" i="26" s="1"/>
  <c r="M5" i="24"/>
  <c r="N25" i="26"/>
  <c r="N34" i="26"/>
  <c r="N37" i="26" s="1"/>
  <c r="N45" i="26" s="1"/>
  <c r="N16" i="26"/>
  <c r="N24" i="26"/>
  <c r="N17" i="26"/>
  <c r="N6" i="26"/>
  <c r="N7" i="26"/>
  <c r="P49" i="21"/>
  <c r="Q49" i="21"/>
  <c r="L15" i="21"/>
  <c r="P33" i="3"/>
  <c r="K8" i="21" s="1"/>
  <c r="K23" i="21" s="1"/>
  <c r="L71" i="21" s="1"/>
  <c r="Q64" i="3"/>
  <c r="K9" i="22" s="1"/>
  <c r="Q69" i="3"/>
  <c r="E13" i="21"/>
  <c r="G9" i="23"/>
  <c r="K7" i="21"/>
  <c r="K22" i="21" s="1"/>
  <c r="L70" i="21" s="1"/>
  <c r="Q161" i="3"/>
  <c r="Q145" i="3" s="1"/>
  <c r="L3" i="21" s="1"/>
  <c r="M162" i="3"/>
  <c r="H4" i="21" s="1"/>
  <c r="C4" i="23"/>
  <c r="C6" i="23" s="1"/>
  <c r="J27" i="26"/>
  <c r="F7" i="23"/>
  <c r="F9" i="23" s="1"/>
  <c r="G4" i="23"/>
  <c r="G6" i="23" s="1"/>
  <c r="J162" i="3"/>
  <c r="E4" i="21" s="1"/>
  <c r="L162" i="3"/>
  <c r="G4" i="21" s="1"/>
  <c r="C32" i="23"/>
  <c r="I77" i="3"/>
  <c r="K105" i="3"/>
  <c r="E34" i="23" s="1"/>
  <c r="I33" i="23"/>
  <c r="M6" i="28"/>
  <c r="M13" i="28" s="1"/>
  <c r="M7" i="28"/>
  <c r="M14" i="28" s="1"/>
  <c r="M8" i="28"/>
  <c r="M5" i="28"/>
  <c r="M12" i="28" s="1"/>
  <c r="M9" i="28"/>
  <c r="M5" i="25"/>
  <c r="S199" i="3"/>
  <c r="I32" i="23"/>
  <c r="J36" i="26"/>
  <c r="I34" i="23"/>
  <c r="N18" i="21"/>
  <c r="M4" i="24"/>
  <c r="M32" i="24" s="1"/>
  <c r="O72" i="21"/>
  <c r="S235" i="3"/>
  <c r="L34" i="28"/>
  <c r="L3" i="28"/>
  <c r="M49" i="21"/>
  <c r="O49" i="21"/>
  <c r="N49" i="21"/>
  <c r="O12" i="21"/>
  <c r="T236" i="3"/>
  <c r="O11" i="21" s="1"/>
  <c r="O4" i="26" s="1"/>
  <c r="O10" i="26" s="1"/>
  <c r="O42" i="26" s="1"/>
  <c r="T238" i="3"/>
  <c r="N77" i="3"/>
  <c r="M77" i="3"/>
  <c r="J13" i="22"/>
  <c r="J14" i="22"/>
  <c r="I10" i="23"/>
  <c r="I13" i="23" s="1"/>
  <c r="M71" i="21"/>
  <c r="J77" i="3"/>
  <c r="I13" i="22"/>
  <c r="I5" i="22"/>
  <c r="I18" i="22" s="1"/>
  <c r="I14" i="22"/>
  <c r="L8" i="22"/>
  <c r="L21" i="22" s="1"/>
  <c r="M15" i="21"/>
  <c r="M10" i="21"/>
  <c r="R161" i="3"/>
  <c r="R145" i="3" s="1"/>
  <c r="R64" i="3"/>
  <c r="R69" i="3"/>
  <c r="D9" i="23"/>
  <c r="D32" i="23"/>
  <c r="I105" i="3"/>
  <c r="C8" i="25" s="1"/>
  <c r="O75" i="3"/>
  <c r="O200" i="3" s="1"/>
  <c r="N162" i="3"/>
  <c r="I4" i="21" s="1"/>
  <c r="K77" i="3"/>
  <c r="I35" i="23"/>
  <c r="I10" i="25" s="1"/>
  <c r="I9" i="25"/>
  <c r="I8" i="25"/>
  <c r="J10" i="23"/>
  <c r="J13" i="23" s="1"/>
  <c r="L24" i="21"/>
  <c r="K10" i="22"/>
  <c r="K6" i="24"/>
  <c r="L49" i="21"/>
  <c r="J49" i="21"/>
  <c r="K36" i="26"/>
  <c r="J32" i="23"/>
  <c r="J33" i="23"/>
  <c r="J34" i="23"/>
  <c r="K27" i="26"/>
  <c r="K69" i="21"/>
  <c r="J80" i="22" s="1"/>
  <c r="K49" i="21"/>
  <c r="J35" i="23"/>
  <c r="J36" i="23" s="1"/>
  <c r="J8" i="25"/>
  <c r="J9" i="25"/>
  <c r="P75" i="3"/>
  <c r="L105" i="3"/>
  <c r="F9" i="25" s="1"/>
  <c r="E42" i="22"/>
  <c r="F8" i="26"/>
  <c r="E6" i="23"/>
  <c r="I13" i="21"/>
  <c r="H6" i="23"/>
  <c r="L77" i="3"/>
  <c r="M105" i="3"/>
  <c r="G35" i="23" s="1"/>
  <c r="G10" i="25" s="1"/>
  <c r="O33" i="3"/>
  <c r="J7" i="21"/>
  <c r="J22" i="21" s="1"/>
  <c r="D6" i="23"/>
  <c r="C7" i="23"/>
  <c r="C9" i="23" s="1"/>
  <c r="F13" i="21"/>
  <c r="H7" i="23"/>
  <c r="H9" i="23" s="1"/>
  <c r="I162" i="3"/>
  <c r="D4" i="21" s="1"/>
  <c r="D4" i="26" s="1"/>
  <c r="H14" i="21"/>
  <c r="G32" i="23" s="1"/>
  <c r="D31" i="24"/>
  <c r="D39" i="25"/>
  <c r="K162" i="3"/>
  <c r="F4" i="21" s="1"/>
  <c r="E7" i="23"/>
  <c r="E9" i="23" s="1"/>
  <c r="E54" i="22"/>
  <c r="E58" i="22" s="1"/>
  <c r="F6" i="23"/>
  <c r="N105" i="3"/>
  <c r="H35" i="23" s="1"/>
  <c r="H10" i="25" s="1"/>
  <c r="J105" i="3"/>
  <c r="E27" i="26" s="1"/>
  <c r="H32" i="23"/>
  <c r="E14" i="25"/>
  <c r="E61" i="25" s="1"/>
  <c r="G6" i="21"/>
  <c r="E11" i="25"/>
  <c r="D6" i="21"/>
  <c r="F28" i="26"/>
  <c r="E4" i="22"/>
  <c r="E17" i="22" s="1"/>
  <c r="E44" i="22"/>
  <c r="G14" i="25"/>
  <c r="G61" i="25" s="1"/>
  <c r="G11" i="25"/>
  <c r="H8" i="26"/>
  <c r="I14" i="3"/>
  <c r="K14" i="3"/>
  <c r="K33" i="3" s="1"/>
  <c r="C11" i="25"/>
  <c r="F21" i="21"/>
  <c r="F49" i="21" s="1"/>
  <c r="E43" i="22"/>
  <c r="D28" i="26"/>
  <c r="C14" i="25"/>
  <c r="C61" i="25" s="1"/>
  <c r="D8" i="26"/>
  <c r="G44" i="22"/>
  <c r="C58" i="22"/>
  <c r="M14" i="3"/>
  <c r="C33" i="28"/>
  <c r="G4" i="22"/>
  <c r="G17" i="22" s="1"/>
  <c r="L14" i="3"/>
  <c r="C2" i="28"/>
  <c r="D16" i="25"/>
  <c r="D2" i="23"/>
  <c r="G58" i="22"/>
  <c r="E41" i="26"/>
  <c r="E2" i="21"/>
  <c r="D16" i="22"/>
  <c r="D12" i="23"/>
  <c r="G43" i="22"/>
  <c r="F14" i="25"/>
  <c r="F61" i="25" s="1"/>
  <c r="G8" i="26"/>
  <c r="G21" i="21"/>
  <c r="G28" i="26"/>
  <c r="F11" i="25"/>
  <c r="E13" i="26"/>
  <c r="D60" i="25"/>
  <c r="D2" i="25"/>
  <c r="E48" i="21"/>
  <c r="D47" i="22"/>
  <c r="D63" i="23"/>
  <c r="E68" i="21"/>
  <c r="D31" i="23"/>
  <c r="E3" i="26"/>
  <c r="E22" i="26"/>
  <c r="D2" i="22"/>
  <c r="J204" i="3"/>
  <c r="K3" i="3"/>
  <c r="J74" i="3"/>
  <c r="J143" i="3" s="1"/>
  <c r="H28" i="26"/>
  <c r="H21" i="21"/>
  <c r="H49" i="21" s="1"/>
  <c r="C11" i="28"/>
  <c r="C45" i="22"/>
  <c r="E32" i="26"/>
  <c r="D2" i="24"/>
  <c r="E20" i="21"/>
  <c r="D41" i="22"/>
  <c r="D79" i="22"/>
  <c r="G45" i="22"/>
  <c r="H58" i="22"/>
  <c r="C44" i="22"/>
  <c r="C42" i="22"/>
  <c r="F58" i="22"/>
  <c r="F44" i="22"/>
  <c r="F42" i="22"/>
  <c r="F43" i="22"/>
  <c r="D45" i="22"/>
  <c r="E28" i="26"/>
  <c r="E8" i="26"/>
  <c r="D11" i="25"/>
  <c r="D14" i="25"/>
  <c r="D61" i="25" s="1"/>
  <c r="E21" i="21"/>
  <c r="I6" i="21"/>
  <c r="N14" i="3"/>
  <c r="H4" i="22"/>
  <c r="H17" i="22" s="1"/>
  <c r="I21" i="21"/>
  <c r="J69" i="21" s="1"/>
  <c r="I80" i="22" s="1"/>
  <c r="I28" i="26"/>
  <c r="H11" i="25"/>
  <c r="H14" i="25"/>
  <c r="H61" i="25" s="1"/>
  <c r="I8" i="26"/>
  <c r="D4" i="22"/>
  <c r="D17" i="22" s="1"/>
  <c r="E6" i="21"/>
  <c r="J14" i="3"/>
  <c r="H44" i="22"/>
  <c r="H42" i="22"/>
  <c r="H45" i="22"/>
  <c r="D42" i="22"/>
  <c r="D58" i="22"/>
  <c r="D44" i="22"/>
  <c r="L9" i="21" l="1"/>
  <c r="J11" i="22"/>
  <c r="P55" i="3"/>
  <c r="P63" i="3" s="1"/>
  <c r="G10" i="23"/>
  <c r="G13" i="23" s="1"/>
  <c r="J6" i="22"/>
  <c r="J19" i="22" s="1"/>
  <c r="N19" i="26"/>
  <c r="N43" i="26" s="1"/>
  <c r="N29" i="26"/>
  <c r="N44" i="26" s="1"/>
  <c r="K3" i="24"/>
  <c r="Q207" i="3"/>
  <c r="Q222" i="3" s="1"/>
  <c r="J34" i="28" s="1"/>
  <c r="K7" i="22"/>
  <c r="K20" i="22" s="1"/>
  <c r="Q71" i="3"/>
  <c r="F10" i="23"/>
  <c r="F13" i="23" s="1"/>
  <c r="C34" i="23"/>
  <c r="E10" i="23"/>
  <c r="E13" i="23" s="1"/>
  <c r="D27" i="26"/>
  <c r="K6" i="25"/>
  <c r="L75" i="3"/>
  <c r="G17" i="21" s="1"/>
  <c r="K4" i="25"/>
  <c r="K40" i="25" s="1"/>
  <c r="C33" i="23"/>
  <c r="I75" i="3"/>
  <c r="D17" i="21" s="1"/>
  <c r="D36" i="26"/>
  <c r="Q144" i="3"/>
  <c r="L16" i="26" s="1"/>
  <c r="C35" i="23"/>
  <c r="C36" i="23" s="1"/>
  <c r="C9" i="25"/>
  <c r="H9" i="25"/>
  <c r="N75" i="3"/>
  <c r="I17" i="21" s="1"/>
  <c r="E35" i="23"/>
  <c r="E10" i="25" s="1"/>
  <c r="G36" i="26"/>
  <c r="E9" i="25"/>
  <c r="H34" i="23"/>
  <c r="F8" i="25"/>
  <c r="K75" i="3"/>
  <c r="Z73" i="3" s="1"/>
  <c r="M75" i="3"/>
  <c r="M200" i="3" s="1"/>
  <c r="E8" i="25"/>
  <c r="F36" i="26"/>
  <c r="G27" i="26"/>
  <c r="D10" i="23"/>
  <c r="D13" i="23" s="1"/>
  <c r="E33" i="23"/>
  <c r="F27" i="26"/>
  <c r="F34" i="23"/>
  <c r="F33" i="23"/>
  <c r="F35" i="23"/>
  <c r="F36" i="23" s="1"/>
  <c r="D33" i="23"/>
  <c r="N12" i="21"/>
  <c r="S236" i="3"/>
  <c r="N11" i="21" s="1"/>
  <c r="N4" i="26" s="1"/>
  <c r="N10" i="26" s="1"/>
  <c r="N42" i="26" s="1"/>
  <c r="S238" i="3"/>
  <c r="D34" i="23"/>
  <c r="I36" i="23"/>
  <c r="L9" i="28"/>
  <c r="L7" i="28"/>
  <c r="L14" i="28" s="1"/>
  <c r="L6" i="28"/>
  <c r="L13" i="28" s="1"/>
  <c r="L5" i="28"/>
  <c r="L12" i="28" s="1"/>
  <c r="L8" i="28"/>
  <c r="I6" i="22"/>
  <c r="I19" i="22" s="1"/>
  <c r="I11" i="22"/>
  <c r="H10" i="23"/>
  <c r="H13" i="23" s="1"/>
  <c r="M24" i="21"/>
  <c r="N72" i="21" s="1"/>
  <c r="L10" i="22"/>
  <c r="L6" i="24"/>
  <c r="L7" i="24"/>
  <c r="H13" i="22"/>
  <c r="H14" i="22"/>
  <c r="J17" i="21"/>
  <c r="I3" i="25"/>
  <c r="I17" i="25" s="1"/>
  <c r="I7" i="25"/>
  <c r="J9" i="26"/>
  <c r="J35" i="26"/>
  <c r="J26" i="26"/>
  <c r="J23" i="26"/>
  <c r="J33" i="26"/>
  <c r="J5" i="26"/>
  <c r="D13" i="22"/>
  <c r="D14" i="22"/>
  <c r="G5" i="22"/>
  <c r="G18" i="22" s="1"/>
  <c r="G13" i="22"/>
  <c r="G14" i="22"/>
  <c r="F7" i="21"/>
  <c r="F22" i="21" s="1"/>
  <c r="E13" i="22"/>
  <c r="E14" i="22"/>
  <c r="K5" i="26"/>
  <c r="K17" i="21"/>
  <c r="L7" i="22"/>
  <c r="L20" i="22" s="1"/>
  <c r="L9" i="22"/>
  <c r="M9" i="21"/>
  <c r="R207" i="3"/>
  <c r="R222" i="3" s="1"/>
  <c r="R71" i="3"/>
  <c r="L3" i="24"/>
  <c r="L33" i="3"/>
  <c r="F11" i="22" s="1"/>
  <c r="F13" i="22"/>
  <c r="F14" i="22"/>
  <c r="C5" i="22"/>
  <c r="C18" i="22" s="1"/>
  <c r="C13" i="22"/>
  <c r="C14" i="22"/>
  <c r="R144" i="3"/>
  <c r="L4" i="25"/>
  <c r="L40" i="25" s="1"/>
  <c r="M3" i="21"/>
  <c r="L6" i="25"/>
  <c r="K4" i="24"/>
  <c r="K32" i="24" s="1"/>
  <c r="L18" i="21"/>
  <c r="L6" i="26"/>
  <c r="L7" i="26"/>
  <c r="L14" i="26"/>
  <c r="L24" i="26"/>
  <c r="L17" i="26"/>
  <c r="L25" i="26"/>
  <c r="K5" i="24"/>
  <c r="L34" i="26"/>
  <c r="L37" i="26" s="1"/>
  <c r="L45" i="26" s="1"/>
  <c r="G33" i="23"/>
  <c r="G34" i="23"/>
  <c r="K70" i="21"/>
  <c r="J7" i="25"/>
  <c r="J3" i="25"/>
  <c r="J17" i="25" s="1"/>
  <c r="K35" i="26"/>
  <c r="K26" i="26"/>
  <c r="K9" i="26"/>
  <c r="K23" i="26"/>
  <c r="P200" i="3"/>
  <c r="K33" i="26"/>
  <c r="K10" i="21"/>
  <c r="J7" i="24" s="1"/>
  <c r="J8" i="22"/>
  <c r="J21" i="22" s="1"/>
  <c r="K15" i="21"/>
  <c r="P161" i="3"/>
  <c r="P145" i="3" s="1"/>
  <c r="P64" i="3"/>
  <c r="J3" i="24" s="1"/>
  <c r="P69" i="3"/>
  <c r="J10" i="25"/>
  <c r="H36" i="26"/>
  <c r="G8" i="25"/>
  <c r="G9" i="25"/>
  <c r="O55" i="3"/>
  <c r="O63" i="3" s="1"/>
  <c r="I8" i="22" s="1"/>
  <c r="I21" i="22" s="1"/>
  <c r="J8" i="21"/>
  <c r="J23" i="21" s="1"/>
  <c r="H27" i="26"/>
  <c r="F22" i="26"/>
  <c r="E39" i="25"/>
  <c r="C10" i="23"/>
  <c r="C13" i="23" s="1"/>
  <c r="E36" i="26"/>
  <c r="H33" i="23"/>
  <c r="I27" i="26"/>
  <c r="H8" i="25"/>
  <c r="I36" i="26"/>
  <c r="D35" i="23"/>
  <c r="D10" i="25" s="1"/>
  <c r="J75" i="3"/>
  <c r="E17" i="21" s="1"/>
  <c r="I33" i="3"/>
  <c r="D8" i="25"/>
  <c r="D9" i="25"/>
  <c r="D7" i="21"/>
  <c r="D22" i="21" s="1"/>
  <c r="F5" i="22"/>
  <c r="F18" i="22" s="1"/>
  <c r="G7" i="21"/>
  <c r="G22" i="21" s="1"/>
  <c r="H7" i="21"/>
  <c r="H22" i="21" s="1"/>
  <c r="G69" i="21"/>
  <c r="F80" i="22" s="1"/>
  <c r="E5" i="22"/>
  <c r="E18" i="22" s="1"/>
  <c r="M33" i="3"/>
  <c r="G6" i="22" s="1"/>
  <c r="G19" i="22" s="1"/>
  <c r="E16" i="25"/>
  <c r="F3" i="26"/>
  <c r="H69" i="21"/>
  <c r="G80" i="22" s="1"/>
  <c r="G49" i="21"/>
  <c r="D2" i="28"/>
  <c r="E31" i="23"/>
  <c r="E63" i="23"/>
  <c r="E31" i="24"/>
  <c r="E79" i="22"/>
  <c r="E41" i="22"/>
  <c r="K74" i="3"/>
  <c r="K143" i="3" s="1"/>
  <c r="F41" i="26"/>
  <c r="F32" i="26"/>
  <c r="E2" i="22"/>
  <c r="E47" i="22"/>
  <c r="F2" i="21"/>
  <c r="D33" i="28"/>
  <c r="K204" i="3"/>
  <c r="E2" i="24"/>
  <c r="F48" i="21"/>
  <c r="E60" i="25"/>
  <c r="E2" i="25"/>
  <c r="E16" i="22"/>
  <c r="F13" i="26"/>
  <c r="E2" i="23"/>
  <c r="L3" i="3"/>
  <c r="F31" i="24" s="1"/>
  <c r="F20" i="21"/>
  <c r="F68" i="21"/>
  <c r="E12" i="23"/>
  <c r="D11" i="28"/>
  <c r="H36" i="23"/>
  <c r="G36" i="23"/>
  <c r="N33" i="3"/>
  <c r="H5" i="22"/>
  <c r="H18" i="22" s="1"/>
  <c r="I7" i="21"/>
  <c r="I22" i="21" s="1"/>
  <c r="J70" i="21" s="1"/>
  <c r="I69" i="21"/>
  <c r="H80" i="22" s="1"/>
  <c r="I49" i="21"/>
  <c r="E69" i="21"/>
  <c r="D80" i="22" s="1"/>
  <c r="E49" i="21"/>
  <c r="D5" i="22"/>
  <c r="D18" i="22" s="1"/>
  <c r="E7" i="21"/>
  <c r="E22" i="21" s="1"/>
  <c r="J33" i="3"/>
  <c r="D11" i="22" s="1"/>
  <c r="F69" i="21"/>
  <c r="E80" i="22" s="1"/>
  <c r="T50" i="21" l="1"/>
  <c r="U50" i="21"/>
  <c r="F9" i="26"/>
  <c r="Y73" i="3"/>
  <c r="F6" i="22"/>
  <c r="F19" i="22" s="1"/>
  <c r="D26" i="26"/>
  <c r="R50" i="21"/>
  <c r="S50" i="21"/>
  <c r="J3" i="28"/>
  <c r="J8" i="28" s="1"/>
  <c r="F3" i="25"/>
  <c r="F17" i="25" s="1"/>
  <c r="G9" i="26"/>
  <c r="Q235" i="3"/>
  <c r="Q238" i="3" s="1"/>
  <c r="Q199" i="3"/>
  <c r="P50" i="21"/>
  <c r="Q50" i="21"/>
  <c r="I35" i="26"/>
  <c r="I23" i="26"/>
  <c r="H7" i="25"/>
  <c r="H33" i="26"/>
  <c r="G33" i="26"/>
  <c r="F7" i="25"/>
  <c r="I200" i="3"/>
  <c r="G35" i="26"/>
  <c r="G5" i="26"/>
  <c r="F5" i="26"/>
  <c r="L200" i="3"/>
  <c r="E36" i="23"/>
  <c r="C10" i="25"/>
  <c r="I33" i="26"/>
  <c r="L15" i="26"/>
  <c r="I9" i="26"/>
  <c r="L18" i="26"/>
  <c r="G3" i="25"/>
  <c r="G17" i="25" s="1"/>
  <c r="I26" i="26"/>
  <c r="K5" i="25"/>
  <c r="F2" i="25"/>
  <c r="H5" i="26"/>
  <c r="I5" i="26"/>
  <c r="H3" i="25"/>
  <c r="H17" i="25" s="1"/>
  <c r="N200" i="3"/>
  <c r="F10" i="25"/>
  <c r="G23" i="26"/>
  <c r="G26" i="26"/>
  <c r="G32" i="26"/>
  <c r="C3" i="25"/>
  <c r="C17" i="25" s="1"/>
  <c r="F33" i="26"/>
  <c r="D35" i="26"/>
  <c r="E7" i="25"/>
  <c r="D9" i="26"/>
  <c r="D23" i="26"/>
  <c r="F17" i="21"/>
  <c r="G8" i="21"/>
  <c r="G23" i="21" s="1"/>
  <c r="C7" i="25"/>
  <c r="L55" i="3"/>
  <c r="L63" i="3" s="1"/>
  <c r="G10" i="21" s="1"/>
  <c r="F10" i="22" s="1"/>
  <c r="D33" i="26"/>
  <c r="D5" i="26"/>
  <c r="F70" i="21"/>
  <c r="G70" i="21"/>
  <c r="F35" i="26"/>
  <c r="E3" i="25"/>
  <c r="E17" i="25" s="1"/>
  <c r="F23" i="26"/>
  <c r="F26" i="26"/>
  <c r="K200" i="3"/>
  <c r="H35" i="26"/>
  <c r="H23" i="26"/>
  <c r="H9" i="26"/>
  <c r="H17" i="21"/>
  <c r="H26" i="26"/>
  <c r="G7" i="25"/>
  <c r="D36" i="23"/>
  <c r="M50" i="21"/>
  <c r="O50" i="21"/>
  <c r="N50" i="21"/>
  <c r="M17" i="26"/>
  <c r="M24" i="26"/>
  <c r="M25" i="26"/>
  <c r="M34" i="26"/>
  <c r="M37" i="26" s="1"/>
  <c r="M45" i="26" s="1"/>
  <c r="L5" i="24"/>
  <c r="M18" i="26"/>
  <c r="M14" i="26"/>
  <c r="M16" i="26"/>
  <c r="M15" i="26"/>
  <c r="L5" i="25"/>
  <c r="R199" i="3"/>
  <c r="M72" i="21"/>
  <c r="R235" i="3"/>
  <c r="K3" i="28"/>
  <c r="K34" i="28"/>
  <c r="M18" i="21"/>
  <c r="L4" i="24"/>
  <c r="L32" i="24" s="1"/>
  <c r="M7" i="26"/>
  <c r="M6" i="26"/>
  <c r="L29" i="26"/>
  <c r="L44" i="26" s="1"/>
  <c r="J6" i="28"/>
  <c r="J13" i="28" s="1"/>
  <c r="J9" i="28"/>
  <c r="J7" i="28"/>
  <c r="J14" i="28" s="1"/>
  <c r="F50" i="21"/>
  <c r="L50" i="21"/>
  <c r="K50" i="21"/>
  <c r="J50" i="21"/>
  <c r="K71" i="21"/>
  <c r="P144" i="3"/>
  <c r="K3" i="21"/>
  <c r="J4" i="25"/>
  <c r="J40" i="25" s="1"/>
  <c r="J6" i="25"/>
  <c r="P207" i="3"/>
  <c r="P222" i="3" s="1"/>
  <c r="J9" i="22"/>
  <c r="K9" i="21"/>
  <c r="J7" i="22"/>
  <c r="J20" i="22" s="1"/>
  <c r="P71" i="3"/>
  <c r="K24" i="21"/>
  <c r="L72" i="21" s="1"/>
  <c r="J10" i="22"/>
  <c r="J6" i="24"/>
  <c r="J15" i="21"/>
  <c r="J10" i="21"/>
  <c r="O161" i="3"/>
  <c r="O145" i="3" s="1"/>
  <c r="O69" i="3"/>
  <c r="O64" i="3"/>
  <c r="H70" i="21"/>
  <c r="H8" i="21"/>
  <c r="H23" i="21" s="1"/>
  <c r="M55" i="3"/>
  <c r="M63" i="3" s="1"/>
  <c r="M69" i="3" s="1"/>
  <c r="M3" i="3"/>
  <c r="G39" i="25" s="1"/>
  <c r="F39" i="25"/>
  <c r="F63" i="23"/>
  <c r="G22" i="26"/>
  <c r="C6" i="22"/>
  <c r="C19" i="22" s="1"/>
  <c r="C11" i="22"/>
  <c r="E33" i="26"/>
  <c r="E23" i="26"/>
  <c r="E5" i="26"/>
  <c r="E11" i="22"/>
  <c r="K55" i="3"/>
  <c r="K63" i="3" s="1"/>
  <c r="F15" i="21" s="1"/>
  <c r="F8" i="21"/>
  <c r="F23" i="21" s="1"/>
  <c r="E6" i="22"/>
  <c r="E19" i="22" s="1"/>
  <c r="I55" i="3"/>
  <c r="I63" i="3" s="1"/>
  <c r="I64" i="3" s="1"/>
  <c r="I71" i="3" s="1"/>
  <c r="J200" i="3"/>
  <c r="E9" i="26"/>
  <c r="E35" i="26"/>
  <c r="D7" i="25"/>
  <c r="E26" i="26"/>
  <c r="D3" i="25"/>
  <c r="D17" i="25" s="1"/>
  <c r="D8" i="21"/>
  <c r="D23" i="21" s="1"/>
  <c r="H50" i="21"/>
  <c r="G50" i="21"/>
  <c r="F2" i="23"/>
  <c r="E2" i="28"/>
  <c r="G41" i="26"/>
  <c r="F47" i="22"/>
  <c r="F16" i="22"/>
  <c r="G3" i="26"/>
  <c r="E11" i="28"/>
  <c r="G11" i="22"/>
  <c r="L74" i="3"/>
  <c r="L143" i="3" s="1"/>
  <c r="G68" i="21"/>
  <c r="F79" i="22"/>
  <c r="F2" i="22"/>
  <c r="F60" i="25"/>
  <c r="F31" i="23"/>
  <c r="F12" i="23"/>
  <c r="G48" i="21"/>
  <c r="G13" i="26"/>
  <c r="F2" i="24"/>
  <c r="F16" i="25"/>
  <c r="G20" i="21"/>
  <c r="G2" i="21"/>
  <c r="E33" i="28"/>
  <c r="F41" i="22"/>
  <c r="L204" i="3"/>
  <c r="N55" i="3"/>
  <c r="N63" i="3" s="1"/>
  <c r="H6" i="22"/>
  <c r="H19" i="22" s="1"/>
  <c r="I8" i="21"/>
  <c r="I23" i="21" s="1"/>
  <c r="J71" i="21" s="1"/>
  <c r="H11" i="22"/>
  <c r="E50" i="21"/>
  <c r="E70" i="21"/>
  <c r="J55" i="3"/>
  <c r="J63" i="3" s="1"/>
  <c r="D6" i="22"/>
  <c r="D19" i="22" s="1"/>
  <c r="E8" i="21"/>
  <c r="E23" i="21" s="1"/>
  <c r="I50" i="21"/>
  <c r="I70" i="21"/>
  <c r="T51" i="21" l="1"/>
  <c r="U51" i="21"/>
  <c r="G15" i="21"/>
  <c r="Q236" i="3"/>
  <c r="L11" i="21" s="1"/>
  <c r="L4" i="26" s="1"/>
  <c r="L10" i="26" s="1"/>
  <c r="L42" i="26" s="1"/>
  <c r="J5" i="28"/>
  <c r="J12" i="28" s="1"/>
  <c r="R51" i="21"/>
  <c r="S51" i="21"/>
  <c r="L12" i="21"/>
  <c r="P51" i="21"/>
  <c r="Q51" i="21"/>
  <c r="F8" i="22"/>
  <c r="F21" i="22" s="1"/>
  <c r="L19" i="26"/>
  <c r="L43" i="26" s="1"/>
  <c r="L64" i="3"/>
  <c r="L71" i="3" s="1"/>
  <c r="L161" i="3"/>
  <c r="L145" i="3" s="1"/>
  <c r="F4" i="25" s="1"/>
  <c r="F40" i="25" s="1"/>
  <c r="L69" i="3"/>
  <c r="G47" i="22"/>
  <c r="H15" i="21"/>
  <c r="H2" i="21"/>
  <c r="G2" i="22"/>
  <c r="G41" i="22"/>
  <c r="M161" i="3"/>
  <c r="M145" i="3" s="1"/>
  <c r="G4" i="25" s="1"/>
  <c r="G40" i="25" s="1"/>
  <c r="H10" i="21"/>
  <c r="H24" i="21" s="1"/>
  <c r="G8" i="22"/>
  <c r="G21" i="22" s="1"/>
  <c r="M64" i="3"/>
  <c r="M71" i="3" s="1"/>
  <c r="H13" i="26"/>
  <c r="G79" i="22"/>
  <c r="I69" i="3"/>
  <c r="G2" i="24"/>
  <c r="O51" i="21"/>
  <c r="N51" i="21"/>
  <c r="M29" i="26"/>
  <c r="M44" i="26" s="1"/>
  <c r="I4" i="25"/>
  <c r="I40" i="25" s="1"/>
  <c r="I6" i="25"/>
  <c r="K7" i="28"/>
  <c r="K14" i="28" s="1"/>
  <c r="K5" i="28"/>
  <c r="K12" i="28" s="1"/>
  <c r="K9" i="28"/>
  <c r="K6" i="28"/>
  <c r="K13" i="28" s="1"/>
  <c r="K8" i="28"/>
  <c r="M19" i="26"/>
  <c r="M43" i="26" s="1"/>
  <c r="M12" i="21"/>
  <c r="R238" i="3"/>
  <c r="R236" i="3"/>
  <c r="M11" i="21" s="1"/>
  <c r="M4" i="26" s="1"/>
  <c r="M10" i="26" s="1"/>
  <c r="M42" i="26" s="1"/>
  <c r="G51" i="21"/>
  <c r="M51" i="21"/>
  <c r="O207" i="3"/>
  <c r="O222" i="3" s="1"/>
  <c r="O235" i="3" s="1"/>
  <c r="O236" i="3" s="1"/>
  <c r="I7" i="22"/>
  <c r="I20" i="22" s="1"/>
  <c r="I9" i="22"/>
  <c r="I3" i="24"/>
  <c r="J4" i="24"/>
  <c r="J32" i="24" s="1"/>
  <c r="K18" i="21"/>
  <c r="H51" i="21"/>
  <c r="L51" i="21"/>
  <c r="K51" i="21"/>
  <c r="J24" i="21"/>
  <c r="K72" i="21" s="1"/>
  <c r="I10" i="22"/>
  <c r="I7" i="24"/>
  <c r="I6" i="24"/>
  <c r="J51" i="21"/>
  <c r="P235" i="3"/>
  <c r="I34" i="28"/>
  <c r="I3" i="28"/>
  <c r="K17" i="26"/>
  <c r="K24" i="26"/>
  <c r="K25" i="26"/>
  <c r="K34" i="26"/>
  <c r="K37" i="26" s="1"/>
  <c r="K45" i="26" s="1"/>
  <c r="J5" i="24"/>
  <c r="K7" i="26"/>
  <c r="K6" i="26"/>
  <c r="K18" i="26"/>
  <c r="K14" i="26"/>
  <c r="K15" i="26"/>
  <c r="K16" i="26"/>
  <c r="J5" i="25"/>
  <c r="P199" i="3"/>
  <c r="J9" i="21"/>
  <c r="O71" i="3"/>
  <c r="O144" i="3"/>
  <c r="J3" i="21"/>
  <c r="H71" i="21"/>
  <c r="G63" i="23"/>
  <c r="M74" i="3"/>
  <c r="M143" i="3" s="1"/>
  <c r="F11" i="28"/>
  <c r="H48" i="21"/>
  <c r="H3" i="26"/>
  <c r="G2" i="25"/>
  <c r="F2" i="28"/>
  <c r="H41" i="26"/>
  <c r="G16" i="25"/>
  <c r="G31" i="24"/>
  <c r="G60" i="25"/>
  <c r="G12" i="23"/>
  <c r="M204" i="3"/>
  <c r="G31" i="23"/>
  <c r="F33" i="28"/>
  <c r="H68" i="21"/>
  <c r="G16" i="22"/>
  <c r="N3" i="3"/>
  <c r="I2" i="21" s="1"/>
  <c r="H22" i="26"/>
  <c r="G2" i="23"/>
  <c r="H32" i="26"/>
  <c r="H20" i="21"/>
  <c r="D10" i="21"/>
  <c r="C10" i="22" s="1"/>
  <c r="C8" i="22"/>
  <c r="C21" i="22" s="1"/>
  <c r="D15" i="21"/>
  <c r="I161" i="3"/>
  <c r="I145" i="3" s="1"/>
  <c r="C6" i="25" s="1"/>
  <c r="F51" i="21"/>
  <c r="G71" i="21"/>
  <c r="K64" i="3"/>
  <c r="E3" i="24" s="1"/>
  <c r="F10" i="21"/>
  <c r="E10" i="22" s="1"/>
  <c r="K69" i="3"/>
  <c r="E8" i="22"/>
  <c r="E21" i="22" s="1"/>
  <c r="K161" i="3"/>
  <c r="K145" i="3" s="1"/>
  <c r="E6" i="25" s="1"/>
  <c r="I20" i="21"/>
  <c r="N69" i="3"/>
  <c r="N64" i="3"/>
  <c r="H8" i="22"/>
  <c r="H21" i="22" s="1"/>
  <c r="I15" i="21"/>
  <c r="I10" i="21"/>
  <c r="N161" i="3"/>
  <c r="N145" i="3" s="1"/>
  <c r="H4" i="25" s="1"/>
  <c r="H40" i="25" s="1"/>
  <c r="E51" i="21"/>
  <c r="E71" i="21"/>
  <c r="C9" i="22"/>
  <c r="D24" i="26" s="1"/>
  <c r="C7" i="22"/>
  <c r="C20" i="22" s="1"/>
  <c r="D9" i="21"/>
  <c r="C3" i="24"/>
  <c r="G24" i="21"/>
  <c r="F6" i="24"/>
  <c r="F7" i="24"/>
  <c r="I71" i="21"/>
  <c r="I51" i="21"/>
  <c r="J69" i="3"/>
  <c r="D8" i="22"/>
  <c r="D21" i="22" s="1"/>
  <c r="J64" i="3"/>
  <c r="E15" i="21"/>
  <c r="J161" i="3"/>
  <c r="J145" i="3" s="1"/>
  <c r="D4" i="25" s="1"/>
  <c r="D40" i="25" s="1"/>
  <c r="E10" i="21"/>
  <c r="D10" i="22" s="1"/>
  <c r="F71" i="21"/>
  <c r="L144" i="3" l="1"/>
  <c r="F7" i="22"/>
  <c r="F20" i="22" s="1"/>
  <c r="G6" i="24"/>
  <c r="F3" i="24"/>
  <c r="G3" i="21"/>
  <c r="F4" i="24" s="1"/>
  <c r="F32" i="24" s="1"/>
  <c r="G9" i="21"/>
  <c r="G7" i="26" s="1"/>
  <c r="L207" i="3"/>
  <c r="L222" i="3" s="1"/>
  <c r="L235" i="3" s="1"/>
  <c r="L236" i="3" s="1"/>
  <c r="F9" i="22"/>
  <c r="G24" i="26" s="1"/>
  <c r="F6" i="25"/>
  <c r="G10" i="22"/>
  <c r="I68" i="21"/>
  <c r="H2" i="22"/>
  <c r="G11" i="28"/>
  <c r="G7" i="24"/>
  <c r="H12" i="23"/>
  <c r="H9" i="21"/>
  <c r="H6" i="26" s="1"/>
  <c r="N204" i="3"/>
  <c r="H47" i="22"/>
  <c r="I32" i="26"/>
  <c r="I13" i="26"/>
  <c r="H16" i="25"/>
  <c r="H3" i="21"/>
  <c r="G4" i="24" s="1"/>
  <c r="G32" i="24" s="1"/>
  <c r="G6" i="25"/>
  <c r="M144" i="3"/>
  <c r="G5" i="25" s="1"/>
  <c r="I48" i="21"/>
  <c r="H2" i="24"/>
  <c r="H31" i="24"/>
  <c r="I3" i="26"/>
  <c r="G9" i="22"/>
  <c r="H17" i="26" s="1"/>
  <c r="I22" i="26"/>
  <c r="G7" i="22"/>
  <c r="G20" i="22" s="1"/>
  <c r="M207" i="3"/>
  <c r="M222" i="3" s="1"/>
  <c r="M235" i="3" s="1"/>
  <c r="M236" i="3" s="1"/>
  <c r="G3" i="24"/>
  <c r="H41" i="22"/>
  <c r="J71" i="3"/>
  <c r="J207" i="3"/>
  <c r="J222" i="3" s="1"/>
  <c r="J235" i="3" s="1"/>
  <c r="J236" i="3" s="1"/>
  <c r="I41" i="26"/>
  <c r="H16" i="22"/>
  <c r="H2" i="23"/>
  <c r="J25" i="26"/>
  <c r="J24" i="26"/>
  <c r="J17" i="26"/>
  <c r="I5" i="24"/>
  <c r="J34" i="26"/>
  <c r="J37" i="26" s="1"/>
  <c r="J45" i="26" s="1"/>
  <c r="H39" i="25"/>
  <c r="O3" i="3"/>
  <c r="H79" i="22"/>
  <c r="O199" i="3"/>
  <c r="J14" i="26"/>
  <c r="I5" i="25"/>
  <c r="J18" i="26"/>
  <c r="J15" i="26"/>
  <c r="J16" i="26"/>
  <c r="E7" i="24"/>
  <c r="E6" i="24"/>
  <c r="I4" i="24"/>
  <c r="I32" i="24" s="1"/>
  <c r="J18" i="21"/>
  <c r="C7" i="24"/>
  <c r="D24" i="21"/>
  <c r="J6" i="26"/>
  <c r="J7" i="26"/>
  <c r="C6" i="24"/>
  <c r="J52" i="21"/>
  <c r="I6" i="28"/>
  <c r="I13" i="28" s="1"/>
  <c r="I5" i="28"/>
  <c r="I12" i="28" s="1"/>
  <c r="I8" i="28"/>
  <c r="I7" i="28"/>
  <c r="I14" i="28" s="1"/>
  <c r="I9" i="28"/>
  <c r="P236" i="3"/>
  <c r="K12" i="21"/>
  <c r="P238" i="3"/>
  <c r="K29" i="26"/>
  <c r="K44" i="26" s="1"/>
  <c r="K19" i="26"/>
  <c r="K43" i="26" s="1"/>
  <c r="K71" i="3"/>
  <c r="K207" i="3"/>
  <c r="K222" i="3" s="1"/>
  <c r="K235" i="3" s="1"/>
  <c r="K236" i="3" s="1"/>
  <c r="N71" i="3"/>
  <c r="N207" i="3"/>
  <c r="N222" i="3" s="1"/>
  <c r="N235" i="3" s="1"/>
  <c r="N236" i="3" s="1"/>
  <c r="J12" i="21"/>
  <c r="H34" i="28"/>
  <c r="H3" i="28"/>
  <c r="K144" i="3"/>
  <c r="F18" i="26" s="1"/>
  <c r="E4" i="25"/>
  <c r="E40" i="25" s="1"/>
  <c r="I144" i="3"/>
  <c r="D18" i="26" s="1"/>
  <c r="C4" i="25"/>
  <c r="C40" i="25" s="1"/>
  <c r="E7" i="22"/>
  <c r="E20" i="22" s="1"/>
  <c r="E9" i="22"/>
  <c r="F24" i="26" s="1"/>
  <c r="N74" i="3"/>
  <c r="N143" i="3" s="1"/>
  <c r="G2" i="28"/>
  <c r="G33" i="28"/>
  <c r="H2" i="25"/>
  <c r="H63" i="23"/>
  <c r="H31" i="23"/>
  <c r="H60" i="25"/>
  <c r="D3" i="21"/>
  <c r="D6" i="26"/>
  <c r="D7" i="26"/>
  <c r="F3" i="21"/>
  <c r="F9" i="21"/>
  <c r="F6" i="26" s="1"/>
  <c r="F24" i="21"/>
  <c r="F52" i="21" s="1"/>
  <c r="G6" i="26"/>
  <c r="C5" i="24"/>
  <c r="D25" i="26"/>
  <c r="D29" i="26" s="1"/>
  <c r="D44" i="26" s="1"/>
  <c r="D34" i="26"/>
  <c r="D37" i="26" s="1"/>
  <c r="D45" i="26" s="1"/>
  <c r="D17" i="26"/>
  <c r="J144" i="3"/>
  <c r="E3" i="21"/>
  <c r="D6" i="25"/>
  <c r="H72" i="21"/>
  <c r="H6" i="24"/>
  <c r="I24" i="21"/>
  <c r="J72" i="21" s="1"/>
  <c r="H10" i="22"/>
  <c r="H7" i="24"/>
  <c r="D6" i="24"/>
  <c r="D7" i="24"/>
  <c r="E24" i="21"/>
  <c r="G15" i="26"/>
  <c r="G18" i="26"/>
  <c r="G14" i="26"/>
  <c r="F5" i="25"/>
  <c r="L199" i="3"/>
  <c r="I3" i="21"/>
  <c r="H6" i="25"/>
  <c r="N144" i="3"/>
  <c r="H7" i="22"/>
  <c r="H20" i="22" s="1"/>
  <c r="H9" i="22"/>
  <c r="H3" i="24"/>
  <c r="I9" i="21"/>
  <c r="H24" i="26"/>
  <c r="E9" i="21"/>
  <c r="D9" i="22"/>
  <c r="E24" i="26" s="1"/>
  <c r="D7" i="22"/>
  <c r="D20" i="22" s="1"/>
  <c r="D3" i="24"/>
  <c r="T52" i="21" l="1"/>
  <c r="U52" i="21"/>
  <c r="R52" i="21"/>
  <c r="S52" i="21"/>
  <c r="P52" i="21"/>
  <c r="Q52" i="21"/>
  <c r="F3" i="28"/>
  <c r="F6" i="28" s="1"/>
  <c r="F13" i="28" s="1"/>
  <c r="H15" i="26"/>
  <c r="G18" i="21"/>
  <c r="H25" i="26"/>
  <c r="H29" i="26" s="1"/>
  <c r="H44" i="26" s="1"/>
  <c r="F5" i="24"/>
  <c r="H7" i="26"/>
  <c r="H14" i="26"/>
  <c r="G25" i="26"/>
  <c r="G29" i="26" s="1"/>
  <c r="G44" i="26" s="1"/>
  <c r="E3" i="28"/>
  <c r="E8" i="28" s="1"/>
  <c r="M199" i="3"/>
  <c r="G34" i="26"/>
  <c r="G37" i="26" s="1"/>
  <c r="G45" i="26" s="1"/>
  <c r="H18" i="26"/>
  <c r="G17" i="26"/>
  <c r="G16" i="26"/>
  <c r="E34" i="28"/>
  <c r="D14" i="26"/>
  <c r="H18" i="21"/>
  <c r="D15" i="26"/>
  <c r="F7" i="26"/>
  <c r="G5" i="24"/>
  <c r="K199" i="3"/>
  <c r="H34" i="26"/>
  <c r="H37" i="26" s="1"/>
  <c r="H45" i="26" s="1"/>
  <c r="H16" i="26"/>
  <c r="F34" i="28"/>
  <c r="I199" i="3"/>
  <c r="D16" i="26"/>
  <c r="C5" i="25"/>
  <c r="J29" i="26"/>
  <c r="J44" i="26" s="1"/>
  <c r="O52" i="21"/>
  <c r="N52" i="21"/>
  <c r="O204" i="3"/>
  <c r="H11" i="28"/>
  <c r="I2" i="25"/>
  <c r="I12" i="23"/>
  <c r="I31" i="24"/>
  <c r="J20" i="21"/>
  <c r="J41" i="26"/>
  <c r="J22" i="26"/>
  <c r="J13" i="26"/>
  <c r="H33" i="28"/>
  <c r="H2" i="28"/>
  <c r="I16" i="25"/>
  <c r="I63" i="23"/>
  <c r="I31" i="23"/>
  <c r="I79" i="22"/>
  <c r="I16" i="22"/>
  <c r="I41" i="22"/>
  <c r="J48" i="21"/>
  <c r="J2" i="21"/>
  <c r="P3" i="3"/>
  <c r="J32" i="26"/>
  <c r="J3" i="26"/>
  <c r="I60" i="25"/>
  <c r="I2" i="24"/>
  <c r="J68" i="21"/>
  <c r="I39" i="25"/>
  <c r="I2" i="23"/>
  <c r="I2" i="22"/>
  <c r="I47" i="22"/>
  <c r="O74" i="3"/>
  <c r="O143" i="3" s="1"/>
  <c r="J19" i="26"/>
  <c r="J43" i="26" s="1"/>
  <c r="G52" i="21"/>
  <c r="M52" i="21"/>
  <c r="E5" i="24"/>
  <c r="F25" i="26"/>
  <c r="F29" i="26" s="1"/>
  <c r="F44" i="26" s="1"/>
  <c r="F16" i="26"/>
  <c r="D4" i="24"/>
  <c r="D32" i="24" s="1"/>
  <c r="E18" i="21"/>
  <c r="C4" i="24"/>
  <c r="C32" i="24" s="1"/>
  <c r="D18" i="21"/>
  <c r="H52" i="21"/>
  <c r="H4" i="24"/>
  <c r="H32" i="24" s="1"/>
  <c r="I18" i="21"/>
  <c r="E4" i="24"/>
  <c r="E32" i="24" s="1"/>
  <c r="F18" i="21"/>
  <c r="G72" i="21"/>
  <c r="L52" i="21"/>
  <c r="K52" i="21"/>
  <c r="D10" i="26"/>
  <c r="D42" i="26" s="1"/>
  <c r="D3" i="28"/>
  <c r="D5" i="28" s="1"/>
  <c r="D12" i="28" s="1"/>
  <c r="D34" i="28"/>
  <c r="O238" i="3"/>
  <c r="H9" i="28"/>
  <c r="H7" i="28"/>
  <c r="H14" i="28" s="1"/>
  <c r="H5" i="28"/>
  <c r="H12" i="28" s="1"/>
  <c r="H6" i="28"/>
  <c r="H13" i="28" s="1"/>
  <c r="H8" i="28"/>
  <c r="E5" i="25"/>
  <c r="F15" i="26"/>
  <c r="F34" i="26"/>
  <c r="F37" i="26" s="1"/>
  <c r="F45" i="26" s="1"/>
  <c r="F14" i="26"/>
  <c r="F17" i="26"/>
  <c r="E6" i="26"/>
  <c r="E7" i="26"/>
  <c r="H12" i="21"/>
  <c r="M238" i="3"/>
  <c r="G12" i="21"/>
  <c r="L238" i="3"/>
  <c r="F12" i="21"/>
  <c r="K238" i="3"/>
  <c r="G3" i="28"/>
  <c r="G34" i="28"/>
  <c r="E52" i="21"/>
  <c r="E72" i="21"/>
  <c r="E15" i="26"/>
  <c r="E18" i="26"/>
  <c r="E16" i="26"/>
  <c r="D5" i="25"/>
  <c r="J199" i="3"/>
  <c r="E14" i="26"/>
  <c r="J238" i="3"/>
  <c r="C34" i="28"/>
  <c r="C3" i="28"/>
  <c r="I15" i="26"/>
  <c r="I14" i="26"/>
  <c r="H5" i="25"/>
  <c r="N199" i="3"/>
  <c r="I18" i="26"/>
  <c r="I16" i="26"/>
  <c r="E17" i="26"/>
  <c r="D5" i="24"/>
  <c r="E34" i="26"/>
  <c r="E37" i="26" s="1"/>
  <c r="E45" i="26" s="1"/>
  <c r="E25" i="26"/>
  <c r="E29" i="26" s="1"/>
  <c r="E44" i="26" s="1"/>
  <c r="I6" i="26"/>
  <c r="I7" i="26"/>
  <c r="I52" i="21"/>
  <c r="I72" i="21"/>
  <c r="I34" i="26"/>
  <c r="I37" i="26" s="1"/>
  <c r="I45" i="26" s="1"/>
  <c r="H5" i="24"/>
  <c r="I25" i="26"/>
  <c r="I17" i="26"/>
  <c r="I24" i="26"/>
  <c r="F7" i="28"/>
  <c r="F14" i="28" s="1"/>
  <c r="F8" i="28"/>
  <c r="F72" i="21"/>
  <c r="F5" i="28" l="1"/>
  <c r="F12" i="28" s="1"/>
  <c r="F9" i="28"/>
  <c r="D19" i="26"/>
  <c r="D43" i="26" s="1"/>
  <c r="G19" i="26"/>
  <c r="G43" i="26" s="1"/>
  <c r="H19" i="26"/>
  <c r="H43" i="26" s="1"/>
  <c r="E7" i="28"/>
  <c r="E14" i="28" s="1"/>
  <c r="E6" i="28"/>
  <c r="E13" i="28" s="1"/>
  <c r="E9" i="28"/>
  <c r="D9" i="28"/>
  <c r="E5" i="28"/>
  <c r="E12" i="28" s="1"/>
  <c r="D6" i="28"/>
  <c r="D13" i="28" s="1"/>
  <c r="D7" i="28"/>
  <c r="D14" i="28" s="1"/>
  <c r="D8" i="28"/>
  <c r="P204" i="3"/>
  <c r="Q3" i="3"/>
  <c r="K41" i="26"/>
  <c r="K3" i="26"/>
  <c r="I33" i="28"/>
  <c r="J39" i="25"/>
  <c r="J2" i="25"/>
  <c r="J79" i="22"/>
  <c r="J2" i="22"/>
  <c r="J41" i="22"/>
  <c r="K48" i="21"/>
  <c r="I2" i="28"/>
  <c r="J2" i="23"/>
  <c r="J31" i="24"/>
  <c r="J16" i="22"/>
  <c r="K32" i="26"/>
  <c r="J63" i="23"/>
  <c r="J2" i="24"/>
  <c r="K13" i="26"/>
  <c r="K22" i="26"/>
  <c r="I11" i="28"/>
  <c r="J60" i="25"/>
  <c r="J31" i="23"/>
  <c r="J12" i="23"/>
  <c r="K68" i="21"/>
  <c r="K20" i="21"/>
  <c r="J16" i="25"/>
  <c r="J47" i="22"/>
  <c r="K2" i="21"/>
  <c r="P74" i="3"/>
  <c r="P143" i="3" s="1"/>
  <c r="F19" i="26"/>
  <c r="F43" i="26" s="1"/>
  <c r="I12" i="21"/>
  <c r="N238" i="3"/>
  <c r="E12" i="21"/>
  <c r="G6" i="28"/>
  <c r="G13" i="28" s="1"/>
  <c r="G5" i="28"/>
  <c r="G12" i="28" s="1"/>
  <c r="G7" i="28"/>
  <c r="G14" i="28" s="1"/>
  <c r="G8" i="28"/>
  <c r="G9" i="28"/>
  <c r="C5" i="28"/>
  <c r="C12" i="28" s="1"/>
  <c r="C7" i="28"/>
  <c r="C14" i="28" s="1"/>
  <c r="C8" i="28"/>
  <c r="C9" i="28"/>
  <c r="C6" i="28"/>
  <c r="C13" i="28" s="1"/>
  <c r="I19" i="26"/>
  <c r="I43" i="26" s="1"/>
  <c r="I29" i="26"/>
  <c r="I44" i="26" s="1"/>
  <c r="E19" i="26"/>
  <c r="E43" i="26" s="1"/>
  <c r="Q204" i="3" l="1"/>
  <c r="L13" i="26"/>
  <c r="J2" i="28"/>
  <c r="K31" i="23"/>
  <c r="K2" i="24"/>
  <c r="K47" i="22"/>
  <c r="L68" i="21"/>
  <c r="L41" i="26"/>
  <c r="L3" i="26"/>
  <c r="K60" i="25"/>
  <c r="K2" i="25"/>
  <c r="K12" i="23"/>
  <c r="K41" i="22"/>
  <c r="L48" i="21"/>
  <c r="L22" i="26"/>
  <c r="J11" i="28"/>
  <c r="K16" i="25"/>
  <c r="K63" i="23"/>
  <c r="K31" i="24"/>
  <c r="K2" i="22"/>
  <c r="L2" i="21"/>
  <c r="L32" i="26"/>
  <c r="K16" i="22"/>
  <c r="J33" i="28"/>
  <c r="K2" i="23"/>
  <c r="L20" i="21"/>
  <c r="R3" i="3"/>
  <c r="S3" i="3" s="1"/>
  <c r="K79" i="22"/>
  <c r="K39" i="25"/>
  <c r="Q74" i="3"/>
  <c r="Q143" i="3" s="1"/>
  <c r="E11" i="21"/>
  <c r="E4" i="26" s="1"/>
  <c r="E10" i="26" s="1"/>
  <c r="E42" i="26" s="1"/>
  <c r="N22" i="26" l="1"/>
  <c r="N32" i="26"/>
  <c r="N13" i="26"/>
  <c r="N3" i="26"/>
  <c r="N41" i="26"/>
  <c r="S204" i="3"/>
  <c r="L11" i="28"/>
  <c r="L2" i="28"/>
  <c r="M60" i="25"/>
  <c r="M31" i="23"/>
  <c r="M31" i="24"/>
  <c r="M79" i="22"/>
  <c r="M41" i="22"/>
  <c r="M16" i="22"/>
  <c r="M16" i="25"/>
  <c r="M12" i="23"/>
  <c r="M2" i="24"/>
  <c r="M39" i="25"/>
  <c r="L33" i="28"/>
  <c r="M2" i="25"/>
  <c r="M47" i="22"/>
  <c r="M63" i="23"/>
  <c r="M2" i="22"/>
  <c r="M2" i="23"/>
  <c r="N2" i="21"/>
  <c r="N48" i="21"/>
  <c r="N20" i="21"/>
  <c r="N68" i="21"/>
  <c r="T3" i="3"/>
  <c r="S74" i="3"/>
  <c r="S143" i="3" s="1"/>
  <c r="R204" i="3"/>
  <c r="M32" i="26"/>
  <c r="M3" i="26"/>
  <c r="K33" i="28"/>
  <c r="L31" i="23"/>
  <c r="L41" i="22"/>
  <c r="M48" i="21"/>
  <c r="M13" i="26"/>
  <c r="K11" i="28"/>
  <c r="L39" i="25"/>
  <c r="L12" i="23"/>
  <c r="L2" i="23"/>
  <c r="L16" i="22"/>
  <c r="M2" i="21"/>
  <c r="L16" i="25"/>
  <c r="L31" i="24"/>
  <c r="L47" i="22"/>
  <c r="M41" i="26"/>
  <c r="M22" i="26"/>
  <c r="L60" i="25"/>
  <c r="L2" i="24"/>
  <c r="L79" i="22"/>
  <c r="M68" i="21"/>
  <c r="K2" i="28"/>
  <c r="L2" i="25"/>
  <c r="L63" i="23"/>
  <c r="M20" i="21"/>
  <c r="L2" i="22"/>
  <c r="R74" i="3"/>
  <c r="R143" i="3" s="1"/>
  <c r="F11" i="21"/>
  <c r="F4" i="26" s="1"/>
  <c r="F10" i="26" s="1"/>
  <c r="F42" i="26" s="1"/>
  <c r="U3" i="3" l="1"/>
  <c r="O2" i="24" s="1"/>
  <c r="O22" i="26"/>
  <c r="O32" i="26"/>
  <c r="O13" i="26"/>
  <c r="O3" i="26"/>
  <c r="O41" i="26"/>
  <c r="U204" i="3"/>
  <c r="O60" i="25"/>
  <c r="O39" i="25"/>
  <c r="O41" i="22"/>
  <c r="O16" i="22"/>
  <c r="O31" i="23"/>
  <c r="O31" i="24"/>
  <c r="O2" i="22"/>
  <c r="O79" i="22"/>
  <c r="O16" i="25"/>
  <c r="O2" i="25"/>
  <c r="O63" i="23"/>
  <c r="O2" i="23"/>
  <c r="O47" i="22"/>
  <c r="O12" i="23"/>
  <c r="P68" i="21"/>
  <c r="P48" i="21"/>
  <c r="P20" i="21"/>
  <c r="P2" i="21"/>
  <c r="U74" i="3"/>
  <c r="U143" i="3" s="1"/>
  <c r="M11" i="28"/>
  <c r="N31" i="23"/>
  <c r="N47" i="22"/>
  <c r="N2" i="22"/>
  <c r="N39" i="25"/>
  <c r="N2" i="24"/>
  <c r="M33" i="28"/>
  <c r="N16" i="25"/>
  <c r="N63" i="23"/>
  <c r="N60" i="25"/>
  <c r="N12" i="23"/>
  <c r="N31" i="24"/>
  <c r="N79" i="22"/>
  <c r="N41" i="22"/>
  <c r="M2" i="28"/>
  <c r="N2" i="25"/>
  <c r="N2" i="23"/>
  <c r="N16" i="22"/>
  <c r="O20" i="21"/>
  <c r="O2" i="21"/>
  <c r="O68" i="21"/>
  <c r="O48" i="21"/>
  <c r="T204" i="3"/>
  <c r="T74" i="3"/>
  <c r="T143" i="3" s="1"/>
  <c r="G11" i="21"/>
  <c r="G4" i="26" s="1"/>
  <c r="G10" i="26" s="1"/>
  <c r="G42" i="26" s="1"/>
  <c r="P32" i="26" l="1"/>
  <c r="P13" i="26"/>
  <c r="P3" i="26"/>
  <c r="N2" i="28"/>
  <c r="P41" i="26"/>
  <c r="N11" i="28"/>
  <c r="V3" i="3"/>
  <c r="W3" i="3" s="1"/>
  <c r="X3" i="3" s="1"/>
  <c r="Y3" i="3" s="1"/>
  <c r="Z3" i="3" s="1"/>
  <c r="P22" i="26"/>
  <c r="N33" i="28"/>
  <c r="H11" i="21"/>
  <c r="H4" i="26" s="1"/>
  <c r="H10" i="26" s="1"/>
  <c r="H42" i="26" s="1"/>
  <c r="Z204" i="3" l="1"/>
  <c r="Z74" i="3"/>
  <c r="Z143" i="3" s="1"/>
  <c r="Y204" i="3"/>
  <c r="T41" i="26"/>
  <c r="T22" i="26"/>
  <c r="S39" i="25"/>
  <c r="S2" i="24"/>
  <c r="S41" i="22"/>
  <c r="T32" i="26"/>
  <c r="T3" i="26"/>
  <c r="R33" i="28"/>
  <c r="S16" i="25"/>
  <c r="S2" i="25"/>
  <c r="S63" i="23"/>
  <c r="S2" i="23"/>
  <c r="S16" i="22"/>
  <c r="T13" i="26"/>
  <c r="R11" i="28"/>
  <c r="R2" i="28"/>
  <c r="S31" i="23"/>
  <c r="S31" i="24"/>
  <c r="S47" i="22"/>
  <c r="S2" i="22"/>
  <c r="S79" i="22"/>
  <c r="S60" i="25"/>
  <c r="S12" i="23"/>
  <c r="T20" i="21"/>
  <c r="T2" i="21"/>
  <c r="T68" i="21"/>
  <c r="T48" i="21"/>
  <c r="Y74" i="3"/>
  <c r="Y143" i="3" s="1"/>
  <c r="S41" i="26"/>
  <c r="S3" i="26"/>
  <c r="R60" i="25"/>
  <c r="R2" i="25"/>
  <c r="R2" i="23"/>
  <c r="R41" i="22"/>
  <c r="S48" i="21"/>
  <c r="Q2" i="28"/>
  <c r="R47" i="22"/>
  <c r="S32" i="26"/>
  <c r="Q33" i="28"/>
  <c r="R39" i="25"/>
  <c r="R63" i="23"/>
  <c r="R31" i="24"/>
  <c r="R16" i="22"/>
  <c r="S20" i="21"/>
  <c r="S22" i="26"/>
  <c r="Q11" i="28"/>
  <c r="R16" i="25"/>
  <c r="R31" i="23"/>
  <c r="R2" i="24"/>
  <c r="R79" i="22"/>
  <c r="R2" i="22"/>
  <c r="S2" i="21"/>
  <c r="S13" i="26"/>
  <c r="R12" i="23"/>
  <c r="S68" i="21"/>
  <c r="X204" i="3"/>
  <c r="X74" i="3"/>
  <c r="X143" i="3" s="1"/>
  <c r="W204" i="3"/>
  <c r="R41" i="26"/>
  <c r="R3" i="26"/>
  <c r="Q60" i="25"/>
  <c r="Q2" i="23"/>
  <c r="Q79" i="22"/>
  <c r="Q16" i="22"/>
  <c r="R20" i="21"/>
  <c r="R32" i="26"/>
  <c r="P33" i="28"/>
  <c r="Q39" i="25"/>
  <c r="Q63" i="23"/>
  <c r="Q31" i="24"/>
  <c r="Q2" i="22"/>
  <c r="R2" i="21"/>
  <c r="R22" i="26"/>
  <c r="P11" i="28"/>
  <c r="Q16" i="25"/>
  <c r="Q31" i="23"/>
  <c r="Q2" i="24"/>
  <c r="Q47" i="22"/>
  <c r="R68" i="21"/>
  <c r="R13" i="26"/>
  <c r="P2" i="28"/>
  <c r="Q2" i="25"/>
  <c r="Q12" i="23"/>
  <c r="Q41" i="22"/>
  <c r="R48" i="21"/>
  <c r="W74" i="3"/>
  <c r="W143" i="3" s="1"/>
  <c r="V204" i="3"/>
  <c r="Q41" i="26"/>
  <c r="O11" i="28"/>
  <c r="P2" i="25"/>
  <c r="P63" i="23"/>
  <c r="P31" i="24"/>
  <c r="P2" i="22"/>
  <c r="Q2" i="21"/>
  <c r="P60" i="25"/>
  <c r="P31" i="23"/>
  <c r="P2" i="24"/>
  <c r="P47" i="22"/>
  <c r="Q68" i="21"/>
  <c r="Q22" i="26"/>
  <c r="O33" i="28"/>
  <c r="P39" i="25"/>
  <c r="P12" i="23"/>
  <c r="P41" i="22"/>
  <c r="Q48" i="21"/>
  <c r="Q32" i="26"/>
  <c r="Q13" i="26"/>
  <c r="Q3" i="26"/>
  <c r="O2" i="28"/>
  <c r="P16" i="25"/>
  <c r="P2" i="23"/>
  <c r="P79" i="22"/>
  <c r="P16" i="22"/>
  <c r="Q20" i="21"/>
  <c r="V74" i="3"/>
  <c r="V143" i="3" s="1"/>
  <c r="I11" i="21"/>
  <c r="I4" i="26" s="1"/>
  <c r="I10" i="26" s="1"/>
  <c r="I42" i="26" s="1"/>
  <c r="J11" i="21" l="1"/>
  <c r="J4" i="26" s="1"/>
  <c r="J10" i="26" s="1"/>
  <c r="J42" i="26" s="1"/>
  <c r="K11" i="21"/>
  <c r="K4" i="26" s="1"/>
  <c r="K10" i="26" s="1"/>
  <c r="K42" i="2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<sst xmlns="http://schemas.openxmlformats.org/spreadsheetml/2006/main" count="2025" uniqueCount="997">
  <si>
    <t>I.</t>
  </si>
  <si>
    <t>Tržby z prodeje zboží</t>
  </si>
  <si>
    <t>A.</t>
  </si>
  <si>
    <t>Náklady na prodané zboží</t>
  </si>
  <si>
    <t>+</t>
  </si>
  <si>
    <t>Obchodní marže</t>
  </si>
  <si>
    <t>II.</t>
  </si>
  <si>
    <t>Výkony</t>
  </si>
  <si>
    <t>Tržby za prodej vlastních výrobků a služeb</t>
  </si>
  <si>
    <t xml:space="preserve">Aktivace </t>
  </si>
  <si>
    <t>B.</t>
  </si>
  <si>
    <t>Spotřeba materiálu a energie</t>
  </si>
  <si>
    <t>Služby</t>
  </si>
  <si>
    <t>Přidaná hodnota</t>
  </si>
  <si>
    <t>C.</t>
  </si>
  <si>
    <t>Osobní náklady</t>
  </si>
  <si>
    <t>D.</t>
  </si>
  <si>
    <t>Daně a poplatky</t>
  </si>
  <si>
    <t>III.</t>
  </si>
  <si>
    <t>E.</t>
  </si>
  <si>
    <t>F.</t>
  </si>
  <si>
    <t>IV.</t>
  </si>
  <si>
    <t>G.</t>
  </si>
  <si>
    <t>H.</t>
  </si>
  <si>
    <t>VI.</t>
  </si>
  <si>
    <t>VII.</t>
  </si>
  <si>
    <t>J.</t>
  </si>
  <si>
    <t>VIII.</t>
  </si>
  <si>
    <t>K.</t>
  </si>
  <si>
    <t>IX.</t>
  </si>
  <si>
    <t>L.</t>
  </si>
  <si>
    <t>X.</t>
  </si>
  <si>
    <t>M.</t>
  </si>
  <si>
    <t>N.</t>
  </si>
  <si>
    <t>Daň z příjmů za běžnou činnost</t>
  </si>
  <si>
    <t>++</t>
  </si>
  <si>
    <t>XI.</t>
  </si>
  <si>
    <t>Mimořádné výnosy</t>
  </si>
  <si>
    <t>O.</t>
  </si>
  <si>
    <t>Mimořádné náklady</t>
  </si>
  <si>
    <t>P.</t>
  </si>
  <si>
    <t>Daň z příjmů  z mimořádné činnosti</t>
  </si>
  <si>
    <t>R.</t>
  </si>
  <si>
    <t>+++</t>
  </si>
  <si>
    <t>Příděl do rezervního fondu</t>
  </si>
  <si>
    <t>Použití rezervního fondu</t>
  </si>
  <si>
    <t>A K T I V A</t>
  </si>
  <si>
    <t>B.I.</t>
  </si>
  <si>
    <t>B.II.</t>
  </si>
  <si>
    <t>1.</t>
  </si>
  <si>
    <t>Pozemky</t>
  </si>
  <si>
    <t>2.</t>
  </si>
  <si>
    <t>3.</t>
  </si>
  <si>
    <t>Samostatné movité věci</t>
  </si>
  <si>
    <t>4.</t>
  </si>
  <si>
    <t>Pěstitelské celky trvalých porostů</t>
  </si>
  <si>
    <t>5.</t>
  </si>
  <si>
    <t>Základní stádo a tažná zvířata</t>
  </si>
  <si>
    <t>7.</t>
  </si>
  <si>
    <t>Opravná položka k nabytému majetku</t>
  </si>
  <si>
    <t>B.III.</t>
  </si>
  <si>
    <t>B.IV.</t>
  </si>
  <si>
    <t>Finanční investice</t>
  </si>
  <si>
    <t>OBĚŽNÁ AKTIVA</t>
  </si>
  <si>
    <t>C.I.</t>
  </si>
  <si>
    <t>Zásoby</t>
  </si>
  <si>
    <t>Materiál</t>
  </si>
  <si>
    <t>Nedokončená výroba</t>
  </si>
  <si>
    <t>Výrobky</t>
  </si>
  <si>
    <t>Zboží</t>
  </si>
  <si>
    <t>Poskytnuté zálohy na zásoby</t>
  </si>
  <si>
    <t>C.II.</t>
  </si>
  <si>
    <t>Dlouhodobé pohledávky</t>
  </si>
  <si>
    <t>C.III.</t>
  </si>
  <si>
    <t>Krátkodobé pohledávky</t>
  </si>
  <si>
    <t>Stát - daňové pohledávky</t>
  </si>
  <si>
    <t>Jiné pohledávky</t>
  </si>
  <si>
    <t>C.IV.</t>
  </si>
  <si>
    <t>Peníze</t>
  </si>
  <si>
    <t>Účty v bankách</t>
  </si>
  <si>
    <t>Krátkodobý finanční majetek</t>
  </si>
  <si>
    <t xml:space="preserve">AKTIVA </t>
  </si>
  <si>
    <t>P A S I V A</t>
  </si>
  <si>
    <t>A.I.</t>
  </si>
  <si>
    <t>A.II.</t>
  </si>
  <si>
    <t>Kapitálové fondy</t>
  </si>
  <si>
    <t>Emisní ažio</t>
  </si>
  <si>
    <t>Ostatní kapitálové fondy</t>
  </si>
  <si>
    <t>A.III.</t>
  </si>
  <si>
    <t>Zákonný rezervní fond</t>
  </si>
  <si>
    <t>A.IV.</t>
  </si>
  <si>
    <t>A.V.</t>
  </si>
  <si>
    <t>CIZÍ ZDROJE</t>
  </si>
  <si>
    <t xml:space="preserve">Rezervy        </t>
  </si>
  <si>
    <t>Ostatní rezervy</t>
  </si>
  <si>
    <t>Dlouhodobé závazky</t>
  </si>
  <si>
    <t>Krátkodobé závazky</t>
  </si>
  <si>
    <t>Závazky k zaměstnancům</t>
  </si>
  <si>
    <t>Závazky ze sociálního zabezpečení</t>
  </si>
  <si>
    <t>Stát - daňové závazky a dotace</t>
  </si>
  <si>
    <t>Jiné závazky</t>
  </si>
  <si>
    <t>Bankovní úvěry a výpomoci</t>
  </si>
  <si>
    <t>Bankovní úvěry dlouhodobé</t>
  </si>
  <si>
    <t>Běžné bankovní úvěry</t>
  </si>
  <si>
    <t>Krátkodobé finanční výpomoci</t>
  </si>
  <si>
    <t xml:space="preserve">PASIVA </t>
  </si>
  <si>
    <t>Rozdíl aktiv a pasiv</t>
  </si>
  <si>
    <t>Stav peněžních prostředků na počátku účetního období</t>
  </si>
  <si>
    <t>Z.</t>
  </si>
  <si>
    <t>A.1</t>
  </si>
  <si>
    <t>Úpravy o nepeněžní operace</t>
  </si>
  <si>
    <t>Vyúčtované nákladové úroky (+) a výnosové úroky (-)</t>
  </si>
  <si>
    <t>A.2</t>
  </si>
  <si>
    <t>Změna potřeby pracovního kapitálu</t>
  </si>
  <si>
    <t>A.3</t>
  </si>
  <si>
    <t>Výdaje z plateb úroků s výjimkou kapitalizovaných úroků (-)</t>
  </si>
  <si>
    <t>A.4</t>
  </si>
  <si>
    <t>Přijaté úroky (+)</t>
  </si>
  <si>
    <t>A.5</t>
  </si>
  <si>
    <t>A.6</t>
  </si>
  <si>
    <t>A***</t>
  </si>
  <si>
    <t>Čistý peněžní tok z provozní činnosti</t>
  </si>
  <si>
    <t>B.1</t>
  </si>
  <si>
    <t>B.2</t>
  </si>
  <si>
    <t>B.3</t>
  </si>
  <si>
    <t>B***</t>
  </si>
  <si>
    <t>Čistý peněžní tok vztahující se k investiční činnosti</t>
  </si>
  <si>
    <t>C.1</t>
  </si>
  <si>
    <t>C.2</t>
  </si>
  <si>
    <t>C***</t>
  </si>
  <si>
    <t>Čistý peněžní tok vztahující se k finanční činnosti</t>
  </si>
  <si>
    <t>Čisté zvýšení, resp. snížení peněžních prostředků</t>
  </si>
  <si>
    <t>Stav peněžních prostředků na konci období</t>
  </si>
  <si>
    <t>Cash-flow kumulativní</t>
  </si>
  <si>
    <t>Cash-flow za období</t>
  </si>
  <si>
    <t>Rentabilita kapitálu (ROI)</t>
  </si>
  <si>
    <t>Rentabilita cizího kapitálu</t>
  </si>
  <si>
    <t>Rentabilita pracovního kapitálu</t>
  </si>
  <si>
    <t>Ukazatele likvidity</t>
  </si>
  <si>
    <t>Pracovní kapitál</t>
  </si>
  <si>
    <t>Podíl stálých aktiv z celkových aktiv</t>
  </si>
  <si>
    <t>Podíl zásob z oběžných aktiv</t>
  </si>
  <si>
    <t>Podíl pohledávek z oběžných aktiv</t>
  </si>
  <si>
    <t>Podíl pracov. kapitálu z oběžných aktiv</t>
  </si>
  <si>
    <t>Průměrná doba inkasa pohledávek (dny)</t>
  </si>
  <si>
    <t>Test bonity</t>
  </si>
  <si>
    <t>Váha</t>
  </si>
  <si>
    <t>Cash flow p.a. / cizí kapitál celkový</t>
  </si>
  <si>
    <t>Aktiva / cizí kapitál celkový</t>
  </si>
  <si>
    <t>HV před zdaněním / aktiva</t>
  </si>
  <si>
    <t>HV před zdaněním / celkové výnosy</t>
  </si>
  <si>
    <t>Zásoby / celkové výnosy</t>
  </si>
  <si>
    <t>Celkové výnosy / aktiva</t>
  </si>
  <si>
    <t>Součet (celkový index)</t>
  </si>
  <si>
    <t>Altmanův index ("Z" analýza)</t>
  </si>
  <si>
    <t>Mzdové náklady</t>
  </si>
  <si>
    <t>Sociální náklady</t>
  </si>
  <si>
    <t>Ostatní finanční výnosy</t>
  </si>
  <si>
    <t>Ostatní finanční náklady</t>
  </si>
  <si>
    <t>Ostatní provozní náklady</t>
  </si>
  <si>
    <t>Ostatní provozní výnosy</t>
  </si>
  <si>
    <t>Dlouhodobý nehmotný majetek</t>
  </si>
  <si>
    <t>Výnosy z dlouhodobého finančního majetku</t>
  </si>
  <si>
    <t>Základní kapitál</t>
  </si>
  <si>
    <t>VLASTNÍ KAPITÁL</t>
  </si>
  <si>
    <t>Změny základního kapitálu</t>
  </si>
  <si>
    <t>Změna stavu zásob vlastní činnosti</t>
  </si>
  <si>
    <t>Odměny členům orgánů společnosti</t>
  </si>
  <si>
    <t>Náklady na sociální a zdravotní pojištění</t>
  </si>
  <si>
    <t>Tržby z prodeje DM a materiálu</t>
  </si>
  <si>
    <t>Tržby z prodeje dlouhodobého majetku</t>
  </si>
  <si>
    <t>Tržby z prodeje materiálu</t>
  </si>
  <si>
    <t>Zůstatková cena prodaného DM a materiálu</t>
  </si>
  <si>
    <t>Zůstatková cena prodaného materiálu</t>
  </si>
  <si>
    <t>Tržby z prodeje cenných papírů a podílů</t>
  </si>
  <si>
    <t>Prodané cenné papíry a podíly</t>
  </si>
  <si>
    <t>Výnosy z krátkodobého finančního majetku</t>
  </si>
  <si>
    <t>Náklady z finančního majetku</t>
  </si>
  <si>
    <t>Výnosy z přecenění cenných papírů</t>
  </si>
  <si>
    <t>Náklady z přecenění cenných papírů</t>
  </si>
  <si>
    <t>Výnosové úroky</t>
  </si>
  <si>
    <t>Nákladové úroky</t>
  </si>
  <si>
    <t>Finanční výsledek hospodaření</t>
  </si>
  <si>
    <t>Q.</t>
  </si>
  <si>
    <t>Daň z příjmů za běžnou činnost - splatná</t>
  </si>
  <si>
    <t>Daň z příjmů za běžnou činnost - odložená</t>
  </si>
  <si>
    <t>Výsledek hospodaření za běžnou činnosti</t>
  </si>
  <si>
    <t>XIII.</t>
  </si>
  <si>
    <t>S.</t>
  </si>
  <si>
    <t>Mimořádný výsledek hospodaření</t>
  </si>
  <si>
    <t>T.</t>
  </si>
  <si>
    <t>Převod podílu na výsledku hospodaření</t>
  </si>
  <si>
    <t>Výsledek hospodaření za účetní období</t>
  </si>
  <si>
    <t>Výsledek hospodaření před zdaněním</t>
  </si>
  <si>
    <t>Výsledek hospodaření po rozdělení</t>
  </si>
  <si>
    <t>Výplata podílu na výsledku hospodaření</t>
  </si>
  <si>
    <t>POHLEDÁVKY ZA UPSANÝ ZÁKLADNÍ KAPITÁL</t>
  </si>
  <si>
    <t>DLOUHODOBÝ MAJETEK</t>
  </si>
  <si>
    <t>Dlouhodobý hmotný majetek</t>
  </si>
  <si>
    <t>Stavby</t>
  </si>
  <si>
    <t>Jiný dlouhodobý hmotný majetek</t>
  </si>
  <si>
    <t>Nedokončený dlouhodobý hmotný majetek</t>
  </si>
  <si>
    <t>Poskytnuté zálohy na dlouhodobý hmotný majetek</t>
  </si>
  <si>
    <t>ČASOVÉ ROZLIŠENÍ</t>
  </si>
  <si>
    <t>D.I.</t>
  </si>
  <si>
    <t>Rezervní fond a ostatní fondy ze zisku</t>
  </si>
  <si>
    <t>Výsledek hospodaření minulých let</t>
  </si>
  <si>
    <t>Nerozdělený výsledek hospodaření</t>
  </si>
  <si>
    <t>Výsledek hospodaření běžného období</t>
  </si>
  <si>
    <t>Provozní výsledek hospodaření</t>
  </si>
  <si>
    <t>Odpisy dlouhodobého majetku</t>
  </si>
  <si>
    <t>Dopady změn vlastního kapitálu na peněžní prostředky</t>
  </si>
  <si>
    <t>Vlastní kapitál</t>
  </si>
  <si>
    <t>Výsledek hospodaření po zdanění</t>
  </si>
  <si>
    <t>Změna stavu rezerv a OP v provozní oblasti</t>
  </si>
  <si>
    <t>Odložený daňový závazek</t>
  </si>
  <si>
    <t>Tržní hodnota ZK / cizí kapitál</t>
  </si>
  <si>
    <t>Tržby / celková aktiva</t>
  </si>
  <si>
    <t>Výkonová spotřeba</t>
  </si>
  <si>
    <t>Výsledek hospodaření za období před zdaněním (+/-)</t>
  </si>
  <si>
    <t>Odpisy stálých aktiv, pohledávek a opravné položky (+/-)</t>
  </si>
  <si>
    <t>Změna stavu rezerv (+/-)</t>
  </si>
  <si>
    <t>Změna stavu časového rozlišení a dohadných účtů (+/-)</t>
  </si>
  <si>
    <t>Zisk (ztráta) z prodeje stálých aktiv (+/-)</t>
  </si>
  <si>
    <t>Změna stavu pohledávek z provozní činnosti (+/-)</t>
  </si>
  <si>
    <t>Změna stavu závazků z provozní činnosti (+/-)</t>
  </si>
  <si>
    <t>Změna stavu zásob (+/-)</t>
  </si>
  <si>
    <t>Zaplacená daň z příjmů z běžné činnosti (-)</t>
  </si>
  <si>
    <t>Příjmy a výdaje spojené s mimořádnými účetními případy (+/-)</t>
  </si>
  <si>
    <t>Výdaje spojené s pořízením stálých aktiv (-)</t>
  </si>
  <si>
    <t>Příjmy z prodeje stálých aktiv (+)</t>
  </si>
  <si>
    <t>Půjčky a úvěry spřízněným osobám (+/-)</t>
  </si>
  <si>
    <t>Změna stavu dlouhodobých závazků (+/-)</t>
  </si>
  <si>
    <t>Změna stavu závazků z dluhopisů (+/-)</t>
  </si>
  <si>
    <t>Zvýšení stavu základního kapitálu (+)</t>
  </si>
  <si>
    <t>Změna stavu kapitálových fondů (+/-)</t>
  </si>
  <si>
    <t>Vyplacené dividendy a podíly na zisku (-)</t>
  </si>
  <si>
    <t>Celkové tržby</t>
  </si>
  <si>
    <t>Celkový výsledek po zdanění (EAT - Eearnings after Tax)</t>
  </si>
  <si>
    <t>Celkový výsledek před zdaněním (EBT - Earnings before Tax)</t>
  </si>
  <si>
    <t>EBIT (Earnings before Interest and Tax)</t>
  </si>
  <si>
    <t>Rentabilita tržeb ze zisku po zdanění</t>
  </si>
  <si>
    <t>Rentabilita tržeb z provozního výsledku hospodaření</t>
  </si>
  <si>
    <t>Materiálová a energetická náročnost produkce</t>
  </si>
  <si>
    <t>Náročnost produkce na externí služby</t>
  </si>
  <si>
    <t>Krátkodobé závazky (včetně běžných úvěrů)</t>
  </si>
  <si>
    <t>Likvidita 1. stupně (pohotová likvidita, cash ratio)</t>
  </si>
  <si>
    <t>Likvidita 2. stupně (rychlá likvidita, quick ratio)</t>
  </si>
  <si>
    <t>Likvidita 3. stupně (běžná likvidita, current ratio)</t>
  </si>
  <si>
    <t>Pracovní kapitál / Oběžná aktiva</t>
  </si>
  <si>
    <t>Rentabilita vlastního kapitálu (ROE)</t>
  </si>
  <si>
    <t>EBIT / Aktiva (ROA)</t>
  </si>
  <si>
    <t>Ukazatele rentability</t>
  </si>
  <si>
    <t>Doplňkové ukazatele</t>
  </si>
  <si>
    <t>Koeficient samofinancování (vl. kapitál / celkový kapitál)</t>
  </si>
  <si>
    <t>Krytí stálých aktiv vlastními zdroji (krytí majetku) - VK / SA</t>
  </si>
  <si>
    <t>SLOŽENÉ INDEXY</t>
  </si>
  <si>
    <t>Čistý pracovní kapitál / celková aktiva</t>
  </si>
  <si>
    <t>EBIT / celk. aktiva</t>
  </si>
  <si>
    <t>Index IN95</t>
  </si>
  <si>
    <t>Aktiva celkem / cizí zdroje</t>
  </si>
  <si>
    <t>EBIT / nákladové úroky</t>
  </si>
  <si>
    <t>EBIT / aktiva celkem</t>
  </si>
  <si>
    <t>Výnosy celkem / aktiva celkem</t>
  </si>
  <si>
    <t>OA / krátkodobé závazky + krátkodobé úvěry</t>
  </si>
  <si>
    <t>Závazky po lhůtě splatnosti / výnosy celkem</t>
  </si>
  <si>
    <t>Závazky po lhůtě splatnosti</t>
  </si>
  <si>
    <t>Změna stavu rezerv a OP ve finanční oblasti</t>
  </si>
  <si>
    <t>Index IN</t>
  </si>
  <si>
    <t>ROZDĚLENÍ VÝSLEDKU HOSPODAŘENÍ</t>
  </si>
  <si>
    <t>Náročnost produkce na osobní náklady</t>
  </si>
  <si>
    <t>Zadržené výdělky / celková aktiva</t>
  </si>
  <si>
    <t>V.</t>
  </si>
  <si>
    <t>Převod provozních výnosů</t>
  </si>
  <si>
    <t>Převod provozních nákladů</t>
  </si>
  <si>
    <t>XII.</t>
  </si>
  <si>
    <t>Převod finančních výnosů</t>
  </si>
  <si>
    <t>Převod finančních nákladů</t>
  </si>
  <si>
    <t>Zůstatková cena prodaného dlouhodobého majetku</t>
  </si>
  <si>
    <t>6.</t>
  </si>
  <si>
    <t>VÝKAZ ZISKU A ZTRÁTY v tis. Kč</t>
  </si>
  <si>
    <t>ROZVAHA (BILANCE AKTIV A PASIV) v tis. Kč</t>
  </si>
  <si>
    <t>Hlavní ukazatele (analýza trendů)</t>
  </si>
  <si>
    <t>Údaje pro grafické zobrazení</t>
  </si>
  <si>
    <t>Celkové tržby z produkce</t>
  </si>
  <si>
    <t>Bázický index (t/počáteční rok)</t>
  </si>
  <si>
    <t>x</t>
  </si>
  <si>
    <t>Řetězový index (t+1/t)</t>
  </si>
  <si>
    <t>PŘEHLED O PENĚŽNÍCH TOCÍCH v tis. Kč</t>
  </si>
  <si>
    <t>Celkový výsledek před zdaněním (EBT)</t>
  </si>
  <si>
    <t>Celkový výsledek po zdanění (EAT)</t>
  </si>
  <si>
    <t>Údaje pro grafické zobrazení (ziskovost)</t>
  </si>
  <si>
    <t>Výpočet pracovního kapitálu</t>
  </si>
  <si>
    <t>Krátkodobá oběžna aktiva</t>
  </si>
  <si>
    <t>Krátkodobé úvěry a výpomoci</t>
  </si>
  <si>
    <t>Krátkodobá závazky</t>
  </si>
  <si>
    <t>Čistý pracovní kapitál</t>
  </si>
  <si>
    <t>Údaje pro grafické zobrazení (pracovní kapitál)</t>
  </si>
  <si>
    <t>Počet pracovníků</t>
  </si>
  <si>
    <t>Produktivita práce (tržby / počet pracovníků)</t>
  </si>
  <si>
    <t>Údaje pro grafické zobrazení (indexy)</t>
  </si>
  <si>
    <t>Index bonity</t>
  </si>
  <si>
    <t>Altmanův index</t>
  </si>
  <si>
    <t>Ukazatele na bázi cash flow</t>
  </si>
  <si>
    <t>Základ pro výpočet: provozní čistý cash flow</t>
  </si>
  <si>
    <t>Rentabilita tržeb z cash flow</t>
  </si>
  <si>
    <t>Rentabilita celkového kapitálu z cash flow</t>
  </si>
  <si>
    <t>Rentabilita vlastního kapitálu z cash flow</t>
  </si>
  <si>
    <t>Úrokové krytí z cash flow</t>
  </si>
  <si>
    <t>Cash flow likvidita</t>
  </si>
  <si>
    <t>Tržní hodnota základního kapitálu</t>
  </si>
  <si>
    <t>Vývoj struktury nákladových druhů</t>
  </si>
  <si>
    <t>Finanční náklady</t>
  </si>
  <si>
    <t>Daň z příjmů</t>
  </si>
  <si>
    <t>Vývoj řetězového indexu tržeb ve srovnání s odvětvím</t>
  </si>
  <si>
    <t>Tržby za zboží a výkony - podnik</t>
  </si>
  <si>
    <t>Výkony - odvětví textilního průmyslu</t>
  </si>
  <si>
    <t>Tržby za zboží - odvětví textilního průmyslu</t>
  </si>
  <si>
    <t>Celkem</t>
  </si>
  <si>
    <t>Vstupní údaje za odvětví</t>
  </si>
  <si>
    <t>Tržby za zboží a výkony - odvětví</t>
  </si>
  <si>
    <t>Čistý peněžní tok z investiční činnosti</t>
  </si>
  <si>
    <t>Čistý peněžní tok z finanční činnosti</t>
  </si>
  <si>
    <t>Změna stavu dlouhodobých úvěrů (+/-)</t>
  </si>
  <si>
    <t>Údaje pro grafické zobrazení (struktura ČPK)</t>
  </si>
  <si>
    <t>Obrat zásob</t>
  </si>
  <si>
    <t>Obchodní pohledávky</t>
  </si>
  <si>
    <t>Obchodní závazky</t>
  </si>
  <si>
    <t>Ukazatele ziskovosti</t>
  </si>
  <si>
    <t>Ukazatele nákladovosti</t>
  </si>
  <si>
    <t>Náročnost produkce na odpisy</t>
  </si>
  <si>
    <t>Vývoj ROE ve srovnání s odvětvím</t>
  </si>
  <si>
    <t>ROE - podnik</t>
  </si>
  <si>
    <t>ROE - odvětví</t>
  </si>
  <si>
    <t>*) K datu předání publikace k vydání nebyla hodnota k dispozici.</t>
  </si>
  <si>
    <t>Údaje pro grafické zobrazení (fin. stabilita)</t>
  </si>
  <si>
    <t>Celková zadluženost</t>
  </si>
  <si>
    <t>Produktivita práce</t>
  </si>
  <si>
    <t>Údaje pro grafické zobrazení (produktivita v tis. Kč)</t>
  </si>
  <si>
    <t>Celková zadluženost (cizí zdroje / celková pasiva)</t>
  </si>
  <si>
    <t>Označení</t>
  </si>
  <si>
    <t>Text 1</t>
  </si>
  <si>
    <t>Číslo řádku</t>
  </si>
  <si>
    <t>Tržby za prodej zboží</t>
  </si>
  <si>
    <t>Náklady vynaložené na prodané zboží</t>
  </si>
  <si>
    <t>II. 1.</t>
  </si>
  <si>
    <t>Aktivace</t>
  </si>
  <si>
    <t>B. 1.</t>
  </si>
  <si>
    <t>B. 2.</t>
  </si>
  <si>
    <t>C. 1.</t>
  </si>
  <si>
    <t>C. 2.</t>
  </si>
  <si>
    <t>Odměny členům orgánů společnosti a družstva</t>
  </si>
  <si>
    <t>C. 3.</t>
  </si>
  <si>
    <t>Náklady na sociální zabezpečení a zdravotní pojištění</t>
  </si>
  <si>
    <t>C. 4.</t>
  </si>
  <si>
    <t>Odpisy dlouhodobého nehmotného a hmotného majetku</t>
  </si>
  <si>
    <t>Tržby z prodeje dlouhodobého majetku a materiálu</t>
  </si>
  <si>
    <t>III. 1.</t>
  </si>
  <si>
    <t>III. 2.</t>
  </si>
  <si>
    <t>Zůstatková cena prodaného dlouhodobého majetku a materiálu</t>
  </si>
  <si>
    <t>F. 1.</t>
  </si>
  <si>
    <t>Prodaný materiál</t>
  </si>
  <si>
    <t>Změna stavu rezerv a opravných položek v provozní oblasti a komplexních nákladů příštích období</t>
  </si>
  <si>
    <t>*</t>
  </si>
  <si>
    <t>VII. 1.</t>
  </si>
  <si>
    <t>Výnosy z podílů v ovládaných a řízených osobách a v účetních jednotkách pod podstatným vlivem</t>
  </si>
  <si>
    <t>Výnosy z ostatních dlouhodobých cenných papírů a podílů</t>
  </si>
  <si>
    <t>Výnosy z ostatního dlouhodobého finančního majetku</t>
  </si>
  <si>
    <t>Výnosy z přecenění cenných papírů a derivátů</t>
  </si>
  <si>
    <t>Náklady z přecenění cenných papírů a derivátů</t>
  </si>
  <si>
    <t>Změna stavu rezerv a opravných položek ve finanční oblasti</t>
  </si>
  <si>
    <t>Daň z příjmu za běžnou činnost</t>
  </si>
  <si>
    <t>Q. 1.</t>
  </si>
  <si>
    <t>- splatná</t>
  </si>
  <si>
    <t>- odložená</t>
  </si>
  <si>
    <t>**</t>
  </si>
  <si>
    <t>Výsledek hospodaření za běžnou činnost</t>
  </si>
  <si>
    <t>Daň z příjmu z mimořádné činnosti</t>
  </si>
  <si>
    <t>S. 1.</t>
  </si>
  <si>
    <t>Mimořádný výsledek hospodáření</t>
  </si>
  <si>
    <t>Převod podílu na výsledku hospodaření společníkům (+/-)</t>
  </si>
  <si>
    <t>***</t>
  </si>
  <si>
    <t>Výsledek hospodaření za účetní období (+/-)</t>
  </si>
  <si>
    <t>****</t>
  </si>
  <si>
    <t>Výkaz zisku a ztráty</t>
  </si>
  <si>
    <t>Rok</t>
  </si>
  <si>
    <t>AKTIVA CELKEM</t>
  </si>
  <si>
    <t>Pohledávky za upsaný vlastní kapitál</t>
  </si>
  <si>
    <t>Dlouhodobý majetek</t>
  </si>
  <si>
    <t>B. I.</t>
  </si>
  <si>
    <t>B. I. 1.</t>
  </si>
  <si>
    <t>Zřizovací výdaje</t>
  </si>
  <si>
    <t>Nehmotné výsledky výzkumu a vývoje</t>
  </si>
  <si>
    <t>Software</t>
  </si>
  <si>
    <t>Ocenitelná práva</t>
  </si>
  <si>
    <t>Goodwill</t>
  </si>
  <si>
    <t>Jiný dlouhodobý nehmotný majetek</t>
  </si>
  <si>
    <t>Nedokončený dlouhodobý nehmotný majetek</t>
  </si>
  <si>
    <t>8.</t>
  </si>
  <si>
    <t>Poskytnuté zálohy na dlouhodobý nehmotný majetek</t>
  </si>
  <si>
    <t>B. II.</t>
  </si>
  <si>
    <t>B. II. 1.</t>
  </si>
  <si>
    <t>Samostatné movité věci a soubory movitých věcí</t>
  </si>
  <si>
    <t>Dospělá zvířata a jejich skupiny</t>
  </si>
  <si>
    <t>9.</t>
  </si>
  <si>
    <t>Oceňovací rozdíl k nabytému majetku</t>
  </si>
  <si>
    <t>B. III.</t>
  </si>
  <si>
    <t>Dlouhodobý finanční majetek</t>
  </si>
  <si>
    <t>B. III. 1.</t>
  </si>
  <si>
    <t>Podíly v ovládaných a řízených jednotkách</t>
  </si>
  <si>
    <t>Podíly v účetních jednotkách pod podstatným vlivem</t>
  </si>
  <si>
    <t>3..</t>
  </si>
  <si>
    <t>Ostatní dlouhodobé cenné papíry a podíly</t>
  </si>
  <si>
    <t>Půjčky a úvěry - ovládající a řídící osoba, podstatný vliv</t>
  </si>
  <si>
    <t>Jiný dlouhodobý finanční majetek</t>
  </si>
  <si>
    <t>Pořizovaný dlouhodobý finanční majetek</t>
  </si>
  <si>
    <t>Poskytnuté zálohy na dlouhodobý finanční majetek</t>
  </si>
  <si>
    <t>Oběžná aktiva</t>
  </si>
  <si>
    <t>C. I.</t>
  </si>
  <si>
    <t>C. I. 1.</t>
  </si>
  <si>
    <t>Nedokončená výroba a polotovary</t>
  </si>
  <si>
    <t>Mladá a ostatní zvířata a jejich skupiny</t>
  </si>
  <si>
    <t>C. II.</t>
  </si>
  <si>
    <t>C. II. 1.</t>
  </si>
  <si>
    <t>Pohledávky z obchodních vztahů</t>
  </si>
  <si>
    <t>Pohledávky - ovládající a řídící osoba</t>
  </si>
  <si>
    <t>Pohledávky - podstatný vliv</t>
  </si>
  <si>
    <t>Pohledávky za společníky, členy družstev a za účastníky sdružení</t>
  </si>
  <si>
    <t>Dlouhodobé poskytnuté zálohy</t>
  </si>
  <si>
    <t>Dohadné účty aktivní</t>
  </si>
  <si>
    <t>Odložená daňová pohledávka</t>
  </si>
  <si>
    <t>C. III.</t>
  </si>
  <si>
    <t>C. III. 1.</t>
  </si>
  <si>
    <t>Pohledávky  - ovládající a řídící osoba</t>
  </si>
  <si>
    <t>Pohledávky  - podstatný vliv</t>
  </si>
  <si>
    <t>Sociální zabezpečení a zdravotní pojištění</t>
  </si>
  <si>
    <t>Krátkodobé poskytnuté zálohy</t>
  </si>
  <si>
    <t>C. IV.</t>
  </si>
  <si>
    <t>C. IV. 1.</t>
  </si>
  <si>
    <t>Krátkodobé cenné papíry a podíly</t>
  </si>
  <si>
    <t>Pořizovaný krátkodobý finanční majetek</t>
  </si>
  <si>
    <t>D. I.</t>
  </si>
  <si>
    <t>Časové rozlišení</t>
  </si>
  <si>
    <t>D. I. 1.</t>
  </si>
  <si>
    <t>Náklady příštích období</t>
  </si>
  <si>
    <t>Komplexní náklady příštích období</t>
  </si>
  <si>
    <t>Příjmy příštích období</t>
  </si>
  <si>
    <t>PASIVA CELKEM</t>
  </si>
  <si>
    <t>A. I.</t>
  </si>
  <si>
    <t>A. I. 1.</t>
  </si>
  <si>
    <t>Vlastní akcie a vlastní obchodní podíly (-)</t>
  </si>
  <si>
    <t>A. II.</t>
  </si>
  <si>
    <t>A. II. 1.</t>
  </si>
  <si>
    <t>Emisní ážio</t>
  </si>
  <si>
    <t>Oceňovací rozdíly z přecenění majetku a závazků</t>
  </si>
  <si>
    <t>Oceňovací rozdíly z přecenění při přeměnách</t>
  </si>
  <si>
    <t>A. III.</t>
  </si>
  <si>
    <t>Rezervní fondy, nedělitelný fond a ostatní fondy ze zisku</t>
  </si>
  <si>
    <t>A. III. 1.</t>
  </si>
  <si>
    <t>Zákonný rezervní fond / Nedělitelný fond</t>
  </si>
  <si>
    <t>Statutární a ostatní fondy</t>
  </si>
  <si>
    <t>A. IV.</t>
  </si>
  <si>
    <t>A. IV. 1.</t>
  </si>
  <si>
    <t>Nerozdělený zisk minulých let</t>
  </si>
  <si>
    <t>Neuhrazená ztráta minulých let</t>
  </si>
  <si>
    <t>A. V.</t>
  </si>
  <si>
    <t>Výsledek hospodaření běžného účetního období (+/-)</t>
  </si>
  <si>
    <t>Cizí zdroje</t>
  </si>
  <si>
    <t>Rezervy</t>
  </si>
  <si>
    <t>Rezervy podle zvláštních právních předpisů</t>
  </si>
  <si>
    <t>Rezervy na důchody a podobné závazky</t>
  </si>
  <si>
    <t>Rezerva na daň z příjmu</t>
  </si>
  <si>
    <t>Závazky z obchodních vztahů</t>
  </si>
  <si>
    <t>Závazky - ovládající a řídící osoba</t>
  </si>
  <si>
    <t>Závazky - podstatný vliv</t>
  </si>
  <si>
    <t>Závazky ke společníkům, členům družstva a k účastníkům sdružení</t>
  </si>
  <si>
    <t>Dlouhodobé přijaté zálohy</t>
  </si>
  <si>
    <t>Vydané dluhopisy</t>
  </si>
  <si>
    <t>Dlouhodobé směnky k úhradě</t>
  </si>
  <si>
    <t>Dohadné účty pasivní</t>
  </si>
  <si>
    <t>10.</t>
  </si>
  <si>
    <t>Závazky ze sociálního zabezpečení a zdravotního pojištění</t>
  </si>
  <si>
    <t>Krátkodobé přijaté zálohy</t>
  </si>
  <si>
    <t>11.</t>
  </si>
  <si>
    <t>B. IV.</t>
  </si>
  <si>
    <t>B. IV. 1.</t>
  </si>
  <si>
    <t>Krátkodobé bankovní úvěry</t>
  </si>
  <si>
    <t>Výdaje příštích období</t>
  </si>
  <si>
    <t>Výnosy příštích období</t>
  </si>
  <si>
    <t>Rozvaha</t>
  </si>
  <si>
    <t xml:space="preserve">2. </t>
  </si>
  <si>
    <t>Rozdiel data a zdrojovych dat</t>
  </si>
  <si>
    <t>Rozdiel dat a zdrojovych dat</t>
  </si>
  <si>
    <t>Stav peněžních prostředků a peněžních ekvivalentů na počátku účetního období</t>
  </si>
  <si>
    <t>(A)</t>
  </si>
  <si>
    <t>Peněžní toky z hlavní výdělečné činnosti (provozní činnost)</t>
  </si>
  <si>
    <t>Účetní zisk  nebo ztráta  z běžné činnosti před zdaněním</t>
  </si>
  <si>
    <t>A.1.</t>
  </si>
  <si>
    <t>A.1.1.</t>
  </si>
  <si>
    <t>Odpisy stálých aktiv (+) s výjimkou zůstat.ceny prodaných stálých aktiv, a dále umořování opr.položky k nabyt.majetkku (+/-)</t>
  </si>
  <si>
    <t>A.1.2.</t>
  </si>
  <si>
    <t>Změna stavu opravných položek a rezerv</t>
  </si>
  <si>
    <t>A.1.3.</t>
  </si>
  <si>
    <t>Zisk (ztráta) z prodeje stálých aktiv (-/+)</t>
  </si>
  <si>
    <t>A.1.4.</t>
  </si>
  <si>
    <t>Výnosy z dividend a podíů na zisku</t>
  </si>
  <si>
    <t>A.1.5.</t>
  </si>
  <si>
    <t>Vyúčtované nákladové úroky (+) s výjimkou kapitaliz.úroků a vyúčtované výnos.úroky (-)</t>
  </si>
  <si>
    <t>A.1.6.</t>
  </si>
  <si>
    <t>Ostatní nepeněžní operace</t>
  </si>
  <si>
    <t>A.*</t>
  </si>
  <si>
    <t>Čistý peněžní tok z provoz.činnosti před zdaněním , změnami prac.kapitálu a mimoř.položkami</t>
  </si>
  <si>
    <t>A.2.</t>
  </si>
  <si>
    <t>Změny stavu nepeněžních položek pracovního kapitálu</t>
  </si>
  <si>
    <t>A.2.1.</t>
  </si>
  <si>
    <t>Zm.stavu pohled.z provoz.činnosti (+/-) akt.účtů čas.rozlišení a dohad.účtů aktivních</t>
  </si>
  <si>
    <t>A.2.2.</t>
  </si>
  <si>
    <t>Změna stavu krátkod.závazků z provoz.činnosti  (+ / -) pasivních účtů čas.rozlišení  a dohad.účtů pasivních</t>
  </si>
  <si>
    <t>A.2.3.</t>
  </si>
  <si>
    <t>Změna stavu zásob</t>
  </si>
  <si>
    <t>A.2.4.</t>
  </si>
  <si>
    <t>Změna stavu krátkodob.finanč.majetku nespadajícího do peněž.prostředků a ekvivalentů</t>
  </si>
  <si>
    <t>A.**</t>
  </si>
  <si>
    <t>Čistý peněžní tok z provozní činnosti před zdaň.</t>
  </si>
  <si>
    <t>A.3.</t>
  </si>
  <si>
    <t>Výdaje z plateb úroků</t>
  </si>
  <si>
    <t>A.4.</t>
  </si>
  <si>
    <t>Přijaté úroky</t>
  </si>
  <si>
    <t>A.5.</t>
  </si>
  <si>
    <t>Zaplacená daň z příjmů za běžnou činnost</t>
  </si>
  <si>
    <t>A.6.</t>
  </si>
  <si>
    <t>Příjmy a výdaje z mimořádné činnosti</t>
  </si>
  <si>
    <t>A.***</t>
  </si>
  <si>
    <t>Čistý peněžní tok z provozní činnosti před zdaněním  a  mimoř.položkami</t>
  </si>
  <si>
    <t>(B)</t>
  </si>
  <si>
    <t>Peněžní toky z investiční činnosti</t>
  </si>
  <si>
    <t>B.1.</t>
  </si>
  <si>
    <t>Výdaje spojené s pořízením stálých aktiv</t>
  </si>
  <si>
    <t>B.2.</t>
  </si>
  <si>
    <t>Příjmy z prodeje stálých aktiv</t>
  </si>
  <si>
    <t>B.3.</t>
  </si>
  <si>
    <t>Půjčky a úvěry spřízněným osobám</t>
  </si>
  <si>
    <t>B.4.</t>
  </si>
  <si>
    <t>Ostatní toky v investiční činnosti</t>
  </si>
  <si>
    <t>B.***</t>
  </si>
  <si>
    <t>(C)</t>
  </si>
  <si>
    <t>Peněžní toky z finančních činností</t>
  </si>
  <si>
    <t>C.1.</t>
  </si>
  <si>
    <t>Dopady změn dlouhodob.závazků, popř. takových krátkodob.závazků, které spadají do oblasti finanční činnosti</t>
  </si>
  <si>
    <t>C.2.</t>
  </si>
  <si>
    <t>Dopady změn vlastního kapitálu na peněžní prostředky a peněžní ekvivalenty</t>
  </si>
  <si>
    <t>C.2.1.</t>
  </si>
  <si>
    <t>Zvýšení peněž.prostř.a peněž.ekv.z titulu zvýš.základ.kapitálu, emis.ažia, event.rezerv.fondu včetně záloh na toto zvýšení (+)</t>
  </si>
  <si>
    <t>C.2.2.</t>
  </si>
  <si>
    <t>Vyplacení podílu na vlastním kapitálu společníkům (-)</t>
  </si>
  <si>
    <t>C.2.3.</t>
  </si>
  <si>
    <t>Další vklady peněžních prostředků společníků a akcionářů</t>
  </si>
  <si>
    <t>C.2.4.</t>
  </si>
  <si>
    <t>Úhrady ztráty společníky (-)</t>
  </si>
  <si>
    <t>C.2.5.</t>
  </si>
  <si>
    <t>Přímé platby na vrub fondů</t>
  </si>
  <si>
    <t>C.2.6.</t>
  </si>
  <si>
    <t>Vyplacené dividendy nebo podíly na zisku včetně zaplacené srážkové daně</t>
  </si>
  <si>
    <t>C.3.</t>
  </si>
  <si>
    <t>Ostatní změny v oblasti financování</t>
  </si>
  <si>
    <t>C.***</t>
  </si>
  <si>
    <t>Čisté zvýšení/snížení peněžních prostř.</t>
  </si>
  <si>
    <t>Stav peněžních prostředků a peněžních ekvivalentů na konci období</t>
  </si>
  <si>
    <t>Míra zadluženosti (cizí zdroje / vlastní kapitál)</t>
  </si>
  <si>
    <t>Míra zadluženosti</t>
  </si>
  <si>
    <t>Ideálna hodnota je medzi 30% - 60%. Čím je hodnota celkovej zadluženosti nižšia, tým je to pre firmu lepšie.</t>
  </si>
  <si>
    <t>L1 - hotovostní likvidita: ideál hodnoty medzi 0,2 - 0,5</t>
  </si>
  <si>
    <t>L2 - pohotová likvidita: ideál hodnoty medzi 1 - 1,5</t>
  </si>
  <si>
    <t>L3 - bežná likvidita: ideál hodnoty medzi 1,5 - 2,5</t>
  </si>
  <si>
    <t>1,420 - 2,070 = podnik spíše tvoří hodnotu, &gt; 2,070 = podnik tvoří hodnotu</t>
  </si>
  <si>
    <t>Cash Flow [vykaz 19] - VZORCE !!!</t>
  </si>
  <si>
    <t>Vývoj složek čistého peněžního toku na období</t>
  </si>
  <si>
    <t>Miera vlast. kapitálu - Equity Ratio</t>
  </si>
  <si>
    <t>Net financial debt</t>
  </si>
  <si>
    <t>Prov. hosp. výsledok pred zdanením a započ. úrokov a 
odpisov - EBITDA</t>
  </si>
  <si>
    <r>
      <t xml:space="preserve">Pomer </t>
    </r>
    <r>
      <rPr>
        <b/>
        <sz val="6"/>
        <rFont val="Arial CE"/>
        <family val="2"/>
        <charset val="238"/>
      </rPr>
      <t>Net financial debt</t>
    </r>
    <r>
      <rPr>
        <sz val="6"/>
        <rFont val="Arial CE"/>
        <family val="2"/>
        <charset val="238"/>
      </rPr>
      <t xml:space="preserve"> k </t>
    </r>
    <r>
      <rPr>
        <b/>
        <sz val="6"/>
        <rFont val="Arial CE"/>
        <family val="2"/>
        <charset val="238"/>
      </rPr>
      <t>EBITDA</t>
    </r>
  </si>
  <si>
    <t>stav k 31.12.2018</t>
  </si>
  <si>
    <t>Běžné obd.netto</t>
  </si>
  <si>
    <t>Minulé obd.netto</t>
  </si>
  <si>
    <t>Běžné obd.brutto</t>
  </si>
  <si>
    <t>Běžné obd.korekce</t>
  </si>
  <si>
    <t>Minulé obd.brutto</t>
  </si>
  <si>
    <t>Minulé obd.korekce</t>
  </si>
  <si>
    <t>stav k 31.12.2019</t>
  </si>
  <si>
    <t>stav k 31.12.2020</t>
  </si>
  <si>
    <t>stav k 31.12.2021</t>
  </si>
  <si>
    <t>Report 7, VZS</t>
  </si>
  <si>
    <t>Report 8, Rozvaha</t>
  </si>
  <si>
    <r>
      <t xml:space="preserve">Hodnocení: menší než 0 = ohrožený podnik, 0 až 1 = středně dobrá situace, </t>
    </r>
    <r>
      <rPr>
        <b/>
        <sz val="6"/>
        <color rgb="FFFF0000"/>
        <rFont val="Arial CE"/>
      </rPr>
      <t>nad 1 = velmi dobrá situace</t>
    </r>
  </si>
  <si>
    <r>
      <t>Hodnocení: &lt; 1 = podnik ve finanční tísni, 1 - 2 = střední situace,</t>
    </r>
    <r>
      <rPr>
        <b/>
        <sz val="6"/>
        <color rgb="FFFF0000"/>
        <rFont val="Arial CE"/>
      </rPr>
      <t xml:space="preserve"> &gt; 2 = podnik bez finanční tísně</t>
    </r>
  </si>
  <si>
    <r>
      <t xml:space="preserve">Hodnocení: -4 až 1,79 = vážné potíže, 1,8 až 2,98 = určité problémy (tzv. šedá zóna), </t>
    </r>
    <r>
      <rPr>
        <b/>
        <sz val="6"/>
        <color rgb="FFFF0000"/>
        <rFont val="Arial CE"/>
      </rPr>
      <t>2,98 a výše = silná pozice</t>
    </r>
  </si>
  <si>
    <r>
      <t xml:space="preserve">Hodnocení: </t>
    </r>
    <r>
      <rPr>
        <b/>
        <sz val="6"/>
        <color rgb="FFFF0000"/>
        <rFont val="Arial CE"/>
      </rPr>
      <t>&lt; 0,684 = podnik netvoří hodnotu</t>
    </r>
    <r>
      <rPr>
        <sz val="6"/>
        <rFont val="Arial CE"/>
        <family val="2"/>
        <charset val="238"/>
      </rPr>
      <t xml:space="preserve">, 0,684 - 1,089 = podnik spíše netvoří hodnotu, 1,089 - 1,420 = nulový stav, </t>
    </r>
  </si>
  <si>
    <t>stav k 31.12.2022</t>
  </si>
  <si>
    <t>Text 2</t>
  </si>
  <si>
    <t>Tržby z prodeje výrobků a služeb</t>
  </si>
  <si>
    <t>Revenues on sale of products and services</t>
  </si>
  <si>
    <t>Revenues on sale of merchandise</t>
  </si>
  <si>
    <t>Consumption</t>
  </si>
  <si>
    <t>Costs of merchandise sold</t>
  </si>
  <si>
    <t>Material and energy consumed</t>
  </si>
  <si>
    <t>Services</t>
  </si>
  <si>
    <t>Změna stavu zásob vlastní činnosti (+/-)</t>
  </si>
  <si>
    <t>Change in balance of inventories produced in-house (+/-)</t>
  </si>
  <si>
    <t>Aktivace (-)</t>
  </si>
  <si>
    <t>Capitalised costs and expenses (-)</t>
  </si>
  <si>
    <t>Personnel costs</t>
  </si>
  <si>
    <t>D.1.</t>
  </si>
  <si>
    <t>Wages and salaries</t>
  </si>
  <si>
    <t>D.2.</t>
  </si>
  <si>
    <t>Náklady na sociální zabezpečení, zdravotní pojištění a ostatní náklady</t>
  </si>
  <si>
    <t>Costs of social security, health insurance and other costs</t>
  </si>
  <si>
    <t>D.2.1.</t>
  </si>
  <si>
    <t>Costs of social security and health insurance</t>
  </si>
  <si>
    <t>D.2.2.</t>
  </si>
  <si>
    <t>Ostatní náklady</t>
  </si>
  <si>
    <t>Other costs</t>
  </si>
  <si>
    <t>Úpravy hodnot v provozní oblasti</t>
  </si>
  <si>
    <t>Adjustments to operational values</t>
  </si>
  <si>
    <t>E.1.</t>
  </si>
  <si>
    <t>Úpravy hodnot dlouhodobého nehmotného a hmotného majetku</t>
  </si>
  <si>
    <t>Adjustments to values of fixed intangible and tangible assets</t>
  </si>
  <si>
    <t>E.1.1.</t>
  </si>
  <si>
    <t>Úpravy hodnot dlouhodobého nehmotného a hmotného majetku - trvalé</t>
  </si>
  <si>
    <t>Adjustments to values of fixed intangible and tangible assets – permanent</t>
  </si>
  <si>
    <t>E.1.2.</t>
  </si>
  <si>
    <t>Úpravy hodnot dlouhodobého nehmotného a hmotného majetku - dočasné</t>
  </si>
  <si>
    <t>Adjustments to values of fixed intangible and tangible assets – temporary</t>
  </si>
  <si>
    <t>E.2.</t>
  </si>
  <si>
    <t>Úpravy hodnot zásob</t>
  </si>
  <si>
    <t>Adjustments to values of inventories</t>
  </si>
  <si>
    <t>E.3.</t>
  </si>
  <si>
    <t>Úpravy hodnot pohledávek</t>
  </si>
  <si>
    <t>Adjustments to values of receivables</t>
  </si>
  <si>
    <t>Other operating income</t>
  </si>
  <si>
    <t>III.1.</t>
  </si>
  <si>
    <t>Tržby z prodaného dlouhodobého majetku</t>
  </si>
  <si>
    <t>Revenues on fixed assets sold</t>
  </si>
  <si>
    <t>III.2.</t>
  </si>
  <si>
    <t>Tržby z prodaného materiálu</t>
  </si>
  <si>
    <t>Revenues on material sold</t>
  </si>
  <si>
    <t>III.3.</t>
  </si>
  <si>
    <t>Jiné provozní výnosy</t>
  </si>
  <si>
    <t>Other operating costs</t>
  </si>
  <si>
    <t>F.1.</t>
  </si>
  <si>
    <t>Net book value of fixed assets sold</t>
  </si>
  <si>
    <t>F.2.</t>
  </si>
  <si>
    <t>Sold Material</t>
  </si>
  <si>
    <t>F.3.</t>
  </si>
  <si>
    <t>Taxes and charges</t>
  </si>
  <si>
    <t>F.4.</t>
  </si>
  <si>
    <t>Rezervy v provozní oblasti a komplexní náklady příštích období</t>
  </si>
  <si>
    <t>Operating provisions and complex pre-paid expenses</t>
  </si>
  <si>
    <t>F.5.</t>
  </si>
  <si>
    <t>Jiné provozní náklady</t>
  </si>
  <si>
    <t>Provozní výsledek hospodaření (+/-)</t>
  </si>
  <si>
    <t>Operating profit (loss) (+/-)</t>
  </si>
  <si>
    <t>Výnosy z dlouhodobého finančního majetku - podíly</t>
  </si>
  <si>
    <t>Income from long-term financial assets – interests</t>
  </si>
  <si>
    <t>IV.1.</t>
  </si>
  <si>
    <t>Výnosy z podílů - ovládaná nebo ovládající osoba</t>
  </si>
  <si>
    <t>Income from interests – controlled or controlling entity</t>
  </si>
  <si>
    <t>IV.2.</t>
  </si>
  <si>
    <t>Ostatní výnosy z podílů</t>
  </si>
  <si>
    <t>Other income from interests</t>
  </si>
  <si>
    <t>Náklady vynaložené na prodané podíly</t>
  </si>
  <si>
    <t>Costs of interests sold</t>
  </si>
  <si>
    <t>Income from other long-term financial assets</t>
  </si>
  <si>
    <t>V.1.</t>
  </si>
  <si>
    <t>Výnosy z ostatního dlouhodobého finančního majetku - ovládaná nebo ovládající osoba</t>
  </si>
  <si>
    <t>Income from other long-term financial assets – controlled or controlling entity</t>
  </si>
  <si>
    <t>V.2.</t>
  </si>
  <si>
    <t>Ostatní výnosy z ostatního dlouhodobého finančního majetku</t>
  </si>
  <si>
    <t>Other income from other long-term financial assets</t>
  </si>
  <si>
    <t>Náklady související s ostatním dlouhodobým finančním majetkem</t>
  </si>
  <si>
    <t>Costs related to other long-term financial assets</t>
  </si>
  <si>
    <t>Výnosové úroky a podobné výnosy</t>
  </si>
  <si>
    <t>Interest income and similar income</t>
  </si>
  <si>
    <t>VI.1.</t>
  </si>
  <si>
    <t>Výnosové úroky a podobné výnosy - ovládaná nebo ovládající osoba</t>
  </si>
  <si>
    <t>Interest income and similar income – controlled or controlling entity</t>
  </si>
  <si>
    <t>VI.2.</t>
  </si>
  <si>
    <t>Ostatní výnosové úroky a podobné výnosy</t>
  </si>
  <si>
    <t>Other interest income and similar income</t>
  </si>
  <si>
    <t>Úpravy hodnot a rezervy ve finanční oblasti</t>
  </si>
  <si>
    <t>Adjustments to financial values and provisions</t>
  </si>
  <si>
    <t>Nákladové úroky a podobné náklady</t>
  </si>
  <si>
    <t>Interest expense and similar costs</t>
  </si>
  <si>
    <t>J.1.</t>
  </si>
  <si>
    <t>Nákladové úroky a podobné náklady - ovládaná nebo ovládající osoba</t>
  </si>
  <si>
    <t>Interest expense and similar costs – controlled or controlling entity</t>
  </si>
  <si>
    <t>J.2.</t>
  </si>
  <si>
    <t>Ostatní nákladové úroky a podobné náklady</t>
  </si>
  <si>
    <t>Other interest expense and similar costs</t>
  </si>
  <si>
    <t>Other financial income</t>
  </si>
  <si>
    <t>Other financial costs</t>
  </si>
  <si>
    <t>Finanční výsledek hospodaření (+/-)</t>
  </si>
  <si>
    <t>Income from financial operations (+/-)</t>
  </si>
  <si>
    <t>Výsledek hospodaření před zdaněním (+/-)</t>
  </si>
  <si>
    <t>Income (loss) before tax (+/-)</t>
  </si>
  <si>
    <t>Income tax</t>
  </si>
  <si>
    <t>L.1.</t>
  </si>
  <si>
    <t>Daň z příjmů splatná</t>
  </si>
  <si>
    <t>Due income tax</t>
  </si>
  <si>
    <t>L.2.</t>
  </si>
  <si>
    <t>Daň z příjmů odložená (+/-)</t>
  </si>
  <si>
    <t>Deferred income tax (+/-)</t>
  </si>
  <si>
    <t>Výsledek hospodaření po zdanění (+/-)</t>
  </si>
  <si>
    <t>Income (loss) after tax (+/-)</t>
  </si>
  <si>
    <t>Transfer of share in profit to members (+/-)</t>
  </si>
  <si>
    <t>Current period profit (loss) (+/-)</t>
  </si>
  <si>
    <t>Čistý obrat za účetní období</t>
  </si>
  <si>
    <t>Current period net turnover</t>
  </si>
  <si>
    <t>TOTAL ASSETS</t>
  </si>
  <si>
    <t>Pohledávky za upsaný základní kapitál</t>
  </si>
  <si>
    <t>Stock subscriptions receivable</t>
  </si>
  <si>
    <t>Stálá aktiva</t>
  </si>
  <si>
    <t>Fixed assets</t>
  </si>
  <si>
    <t>Intangible fixed assets</t>
  </si>
  <si>
    <t>B.I.1.</t>
  </si>
  <si>
    <t>Nehmotné výsledky vývoje</t>
  </si>
  <si>
    <t>Intangible results of development</t>
  </si>
  <si>
    <t>B.I.2.</t>
  </si>
  <si>
    <t>Patents, royalties and similar rights</t>
  </si>
  <si>
    <t>B.I.2.1.</t>
  </si>
  <si>
    <t>B.I.2.2.</t>
  </si>
  <si>
    <t>Ostatní ocenitelná práva</t>
  </si>
  <si>
    <t>Other valuable rights</t>
  </si>
  <si>
    <t>B.I.3.</t>
  </si>
  <si>
    <t>B.I.4.</t>
  </si>
  <si>
    <t>Ostatní dlouhodobý nehmotný majetek</t>
  </si>
  <si>
    <t>Other intangible fixed assets</t>
  </si>
  <si>
    <t>B.I.5.</t>
  </si>
  <si>
    <t>Poskytnuté zálohy na dlouhodobý nehmotný majetek a nedokončený dlouhodobý nehmotný majetek</t>
  </si>
  <si>
    <t>Advances paid towards acquisition of intangible fixed assets and acquisition of intangible fixed assets in progress</t>
  </si>
  <si>
    <t>B.I.5.1.</t>
  </si>
  <si>
    <t>Advances paid towards acquisition of intangible fixed assets</t>
  </si>
  <si>
    <t>B.I.5.2.</t>
  </si>
  <si>
    <t>Acquisition of intangible fixed assets in progress</t>
  </si>
  <si>
    <t>Tangible fixed assets</t>
  </si>
  <si>
    <t>B.II.1.</t>
  </si>
  <si>
    <t>Pozemky a stavby</t>
  </si>
  <si>
    <t>Land and buildings</t>
  </si>
  <si>
    <t>B.II.1.1.</t>
  </si>
  <si>
    <t>Land</t>
  </si>
  <si>
    <t>B.II.1.2.</t>
  </si>
  <si>
    <t>Buildings</t>
  </si>
  <si>
    <t>B.II.2.</t>
  </si>
  <si>
    <t>Hmotné movité věci a jejich soubory</t>
  </si>
  <si>
    <t>Tangible movables and their groups</t>
  </si>
  <si>
    <t>B.II.3.</t>
  </si>
  <si>
    <t>Gain or loss on revaluation of acquired property</t>
  </si>
  <si>
    <t>B.II.4.</t>
  </si>
  <si>
    <t>Ostatní dlouhodobý hmotný majetek</t>
  </si>
  <si>
    <t>Other tangible fixed assets</t>
  </si>
  <si>
    <t>B.II.4.1.</t>
  </si>
  <si>
    <t>Orchards and vineyards</t>
  </si>
  <si>
    <t>B.II.4.2.</t>
  </si>
  <si>
    <t>Adult animals and their groups</t>
  </si>
  <si>
    <t>B.II.4.3.</t>
  </si>
  <si>
    <t>B.II.5.</t>
  </si>
  <si>
    <t>Poskytnuté zálohy na dlouhodobý hmotný majetek a nedokončený dlouhodobý hmotný majetek</t>
  </si>
  <si>
    <t>Advances paid towards acquisition of tangible fixed assets and acquisition of tangible fixed assets in progress</t>
  </si>
  <si>
    <t>B.II.5.1.</t>
  </si>
  <si>
    <t>Advances paid towards acquisition of tangible fixed assets</t>
  </si>
  <si>
    <t>B.II.5.2.</t>
  </si>
  <si>
    <t>Acquisition of tangible fixed assets in progress</t>
  </si>
  <si>
    <t>Long-term financial assets</t>
  </si>
  <si>
    <t>B.III.1.</t>
  </si>
  <si>
    <t>Podíly - ovládaná nebo ovládající osoba</t>
  </si>
  <si>
    <t>Interests – controlled or controlling entity</t>
  </si>
  <si>
    <t>B.III.2.</t>
  </si>
  <si>
    <t>Zápůjčky a úvěry - ovládaná nebo ovládající osoba</t>
  </si>
  <si>
    <t>Loans and credits – controlled or controlling entity</t>
  </si>
  <si>
    <t>B.III.3.</t>
  </si>
  <si>
    <t>Podíly - podstatný vliv</t>
  </si>
  <si>
    <t>Interests – significant influence</t>
  </si>
  <si>
    <t>B.III.4.</t>
  </si>
  <si>
    <t>Zápůjčky a úvěry - podstatný vliv</t>
  </si>
  <si>
    <t>Loans and credits – significant influence</t>
  </si>
  <si>
    <t>B.III.5.</t>
  </si>
  <si>
    <t>Other long-term securities and interests</t>
  </si>
  <si>
    <t>B.III.6.</t>
  </si>
  <si>
    <t>Zápůjčky a úvěry - ostatní</t>
  </si>
  <si>
    <t>Loans and credits – other</t>
  </si>
  <si>
    <t>B.III.7.</t>
  </si>
  <si>
    <t>Ostatní dlouhodobý finanční majetek</t>
  </si>
  <si>
    <t>Other long-term financial assets</t>
  </si>
  <si>
    <t>B.III.7.1.</t>
  </si>
  <si>
    <t>Additional long-term financial assets</t>
  </si>
  <si>
    <t>B.III.7.2.</t>
  </si>
  <si>
    <t>Advances paid towards acquisition of long-term financial assets</t>
  </si>
  <si>
    <t>Current assets</t>
  </si>
  <si>
    <t>Inventories</t>
  </si>
  <si>
    <t>C.I.1.</t>
  </si>
  <si>
    <t>Material</t>
  </si>
  <si>
    <t>C.I.2.</t>
  </si>
  <si>
    <t>Work in progress and semi-finished products</t>
  </si>
  <si>
    <t>C.I.3.</t>
  </si>
  <si>
    <t>Výrobky a zboží</t>
  </si>
  <si>
    <t>Products and merchandise</t>
  </si>
  <si>
    <t>C.I.3.1.</t>
  </si>
  <si>
    <t>Products</t>
  </si>
  <si>
    <t>C.I.3.2.</t>
  </si>
  <si>
    <t>Merchandise</t>
  </si>
  <si>
    <t>C.I.4.</t>
  </si>
  <si>
    <t>Young and other animals and their groups</t>
  </si>
  <si>
    <t>C.I.5.</t>
  </si>
  <si>
    <t>Advances paid towards acquisition of inventory</t>
  </si>
  <si>
    <t>Pohledávky</t>
  </si>
  <si>
    <t>Receivables</t>
  </si>
  <si>
    <t>C.II.1.</t>
  </si>
  <si>
    <t>Long-term receivables</t>
  </si>
  <si>
    <t>C.II.1.1.</t>
  </si>
  <si>
    <t>Trade receivables</t>
  </si>
  <si>
    <t>C.II.1.2.</t>
  </si>
  <si>
    <t>Pohledávky - ovládaná nebo ovládající osoba</t>
  </si>
  <si>
    <t>Receivables – controlled or controlling entity</t>
  </si>
  <si>
    <t>C.II.1.3.</t>
  </si>
  <si>
    <t>Receivables – significant influence</t>
  </si>
  <si>
    <t>C.II.1.4.</t>
  </si>
  <si>
    <t>Deferred tax liability</t>
  </si>
  <si>
    <t>C.II.1.5.</t>
  </si>
  <si>
    <t>Pohledávky - ostatní</t>
  </si>
  <si>
    <t>Receivables – other</t>
  </si>
  <si>
    <t>C.II.1.5.1</t>
  </si>
  <si>
    <t>Pohledávky za společníky</t>
  </si>
  <si>
    <t>Receivables from members</t>
  </si>
  <si>
    <t>C.II.1.5.2</t>
  </si>
  <si>
    <t>Long-term advances paid</t>
  </si>
  <si>
    <t>C.II.1.5.3</t>
  </si>
  <si>
    <t>Accrued assets</t>
  </si>
  <si>
    <t>C.II.1.5.4</t>
  </si>
  <si>
    <t>Other receivables</t>
  </si>
  <si>
    <t>C.II.2.</t>
  </si>
  <si>
    <t>Short-term receivables</t>
  </si>
  <si>
    <t>C.II.2.1.</t>
  </si>
  <si>
    <t>C.II.2.2.</t>
  </si>
  <si>
    <t>C.II.2.3.</t>
  </si>
  <si>
    <t>C.II.2.4.</t>
  </si>
  <si>
    <t>C.II.2.4.1</t>
  </si>
  <si>
    <t>C.II.2.4.2</t>
  </si>
  <si>
    <t>Social security and health insurance</t>
  </si>
  <si>
    <t>C.II.2.4.3</t>
  </si>
  <si>
    <t>State – tax receivables</t>
  </si>
  <si>
    <t>C.II.2.4.4</t>
  </si>
  <si>
    <t>Short-term advances paid</t>
  </si>
  <si>
    <t>C.II.2.4.5</t>
  </si>
  <si>
    <t>C.II.2.4.6</t>
  </si>
  <si>
    <t>Short-term financial assets</t>
  </si>
  <si>
    <t>C.III.1.</t>
  </si>
  <si>
    <t>C.III.2.</t>
  </si>
  <si>
    <t>Ostatní krátkodobý finanční majetek</t>
  </si>
  <si>
    <t>Other short-term financial assets</t>
  </si>
  <si>
    <t>Peněžní prostředky</t>
  </si>
  <si>
    <t>Cash</t>
  </si>
  <si>
    <t>C.IV.1.</t>
  </si>
  <si>
    <t>Peněžní prostředky v pokladně</t>
  </si>
  <si>
    <t>Cash in hand</t>
  </si>
  <si>
    <t>C.IV.2.</t>
  </si>
  <si>
    <t>Peněžní prostředky na účtech</t>
  </si>
  <si>
    <t>Cash at bank</t>
  </si>
  <si>
    <t>Časové rozlišení aktiv</t>
  </si>
  <si>
    <t>Asset accruals and referrals</t>
  </si>
  <si>
    <t>Pre-paid expenses</t>
  </si>
  <si>
    <t>Complex pre-paid expenses</t>
  </si>
  <si>
    <t>D.3.</t>
  </si>
  <si>
    <t>Accrued revenues</t>
  </si>
  <si>
    <t>TOTAL LIABILITIES</t>
  </si>
  <si>
    <t>Equity</t>
  </si>
  <si>
    <t>Registered capital</t>
  </si>
  <si>
    <t>A.I.1.</t>
  </si>
  <si>
    <t>A.I.2.</t>
  </si>
  <si>
    <t>Vlastní podíly (-)</t>
  </si>
  <si>
    <t>Treasury interests (-)</t>
  </si>
  <si>
    <t>A.I.3.</t>
  </si>
  <si>
    <t>Changes to registered capital</t>
  </si>
  <si>
    <t>Ážio a kapitálové fondy</t>
  </si>
  <si>
    <t>Additional paid-in capital and capital reserve funds</t>
  </si>
  <si>
    <t>A.II.1.</t>
  </si>
  <si>
    <t>Ážio</t>
  </si>
  <si>
    <t>Additional paid-in capital</t>
  </si>
  <si>
    <t>A.II.2.</t>
  </si>
  <si>
    <t>Capital reserve funds</t>
  </si>
  <si>
    <t>A.II.2.1.</t>
  </si>
  <si>
    <t>Other capital reserve funds</t>
  </si>
  <si>
    <t>A.II.2.2.</t>
  </si>
  <si>
    <t>Oceňovací rozdíly z přecenění majetku a závazků (+/-)</t>
  </si>
  <si>
    <t>Gain or loss on revaluation of assets and liabilities (+/-)</t>
  </si>
  <si>
    <t>A.II.2.3.</t>
  </si>
  <si>
    <t>Oceňovací rozdíly z přecenění při přeměnách obchodních korporací (+/-)</t>
  </si>
  <si>
    <t>Gain or loss on revaluation in corporate transformations (+/-)</t>
  </si>
  <si>
    <t>A.II.2.4.</t>
  </si>
  <si>
    <t>Rozdíly z přeměn obchodních korporací (+/-)</t>
  </si>
  <si>
    <t>Differences from corporate transformations (+/-)</t>
  </si>
  <si>
    <t>A.II.2.5.</t>
  </si>
  <si>
    <t>Rozdíly z ocenění při přeměnách obchodních korporací (+/-)</t>
  </si>
  <si>
    <t>Differences on revaluation in corporate transformations (+/-)</t>
  </si>
  <si>
    <t>Fondy ze zisku</t>
  </si>
  <si>
    <t>Reserves from profit</t>
  </si>
  <si>
    <t>A.III.1.</t>
  </si>
  <si>
    <t>Ostatní rezervní fondy</t>
  </si>
  <si>
    <t>Other reserve funds</t>
  </si>
  <si>
    <t>A.III.2.</t>
  </si>
  <si>
    <t>Statutory and other funds</t>
  </si>
  <si>
    <t>Výsledek hospodaření minulých let (+/-)</t>
  </si>
  <si>
    <t>Income in prior years (+/-)</t>
  </si>
  <si>
    <t>A.IV.1.</t>
  </si>
  <si>
    <t>Nerozdělený zisk nebo neuhrazená ztráta minulých let (+/-)</t>
  </si>
  <si>
    <t>Gewinnrücklagen oder unbezahlter Verlust der letzten Jahre</t>
  </si>
  <si>
    <t>A.IV.2.</t>
  </si>
  <si>
    <t>Jiný výsledek hospodaření minulých let (+/-)</t>
  </si>
  <si>
    <t>Other income in prior years (+/-)</t>
  </si>
  <si>
    <t>Current period profit/loss (+/-)</t>
  </si>
  <si>
    <t>A.VI.</t>
  </si>
  <si>
    <t>Rozhodnuto o zálohové výplatě podílu na zisku (-)</t>
  </si>
  <si>
    <t>Decision on advance payment of share in profit (-)</t>
  </si>
  <si>
    <t>B.+C.</t>
  </si>
  <si>
    <t>Provisions and liabilities</t>
  </si>
  <si>
    <t>Provisions</t>
  </si>
  <si>
    <t>Rezerva na důchody a podobné závazky</t>
  </si>
  <si>
    <t>Provision for pensions and similar liabilities</t>
  </si>
  <si>
    <t>Rezerva na daň z příjmů</t>
  </si>
  <si>
    <t>Provision for income tax</t>
  </si>
  <si>
    <t>Provisions in accordance with other legal regulations</t>
  </si>
  <si>
    <t>Other provisions</t>
  </si>
  <si>
    <t>Závazky</t>
  </si>
  <si>
    <t>Liabilities</t>
  </si>
  <si>
    <t>Long-term liabilities</t>
  </si>
  <si>
    <t>Bonds issued</t>
  </si>
  <si>
    <t>C.I.1.1.</t>
  </si>
  <si>
    <t>Vyměnitelné dluhopisy</t>
  </si>
  <si>
    <t>Convertible bonds</t>
  </si>
  <si>
    <t>C.I.1.2.</t>
  </si>
  <si>
    <t>Ostatní dluhopisy</t>
  </si>
  <si>
    <t>Other bonds</t>
  </si>
  <si>
    <t>Závazky k úvěrovým institucím</t>
  </si>
  <si>
    <t>Liabilities to lending institutions</t>
  </si>
  <si>
    <t>Long-term deposits received</t>
  </si>
  <si>
    <t>Trade liabilities</t>
  </si>
  <si>
    <t>Long-term bills for payment</t>
  </si>
  <si>
    <t>C.I.6.</t>
  </si>
  <si>
    <t>Závazky - ovládaná nebo ovládající osoba</t>
  </si>
  <si>
    <t>Liabilities – controlled or controlling entity</t>
  </si>
  <si>
    <t>C.I.7.</t>
  </si>
  <si>
    <t>Liabilities – significant influence</t>
  </si>
  <si>
    <t>C.I.8.</t>
  </si>
  <si>
    <t>C.I.9.</t>
  </si>
  <si>
    <t>Závazky - ostatní</t>
  </si>
  <si>
    <t>Liabilities – other</t>
  </si>
  <si>
    <t>C.I.9.1.</t>
  </si>
  <si>
    <t>Závazky ke společníkům</t>
  </si>
  <si>
    <t>Liabilities to members</t>
  </si>
  <si>
    <t>C.I.9.2.</t>
  </si>
  <si>
    <t>Accrued liabilities</t>
  </si>
  <si>
    <t>C.I.9.3.</t>
  </si>
  <si>
    <t>Other liabilities</t>
  </si>
  <si>
    <t>Current liabilities</t>
  </si>
  <si>
    <t>C.II.3.</t>
  </si>
  <si>
    <t>Short-term deposits received</t>
  </si>
  <si>
    <t>C.II.4.</t>
  </si>
  <si>
    <t>C.II.5.</t>
  </si>
  <si>
    <t>Krátkodobé směnky k úhradě</t>
  </si>
  <si>
    <t>Short-term bills for payment</t>
  </si>
  <si>
    <t>C.II.6.</t>
  </si>
  <si>
    <t>C.II.7.</t>
  </si>
  <si>
    <t>C.II.8.</t>
  </si>
  <si>
    <t>Závazky ostatní</t>
  </si>
  <si>
    <t>C.II.8.1.</t>
  </si>
  <si>
    <t>C.II.8.2.</t>
  </si>
  <si>
    <t>Short-term financial assistance</t>
  </si>
  <si>
    <t>C.II.8.3.</t>
  </si>
  <si>
    <t>Liabilities to employees</t>
  </si>
  <si>
    <t>C.II.8.4.</t>
  </si>
  <si>
    <t>Social security and health insurance liabilities</t>
  </si>
  <si>
    <t>C.II.8.5.</t>
  </si>
  <si>
    <t>State – tax liabilities and subsidies</t>
  </si>
  <si>
    <t>C.II.8.6.</t>
  </si>
  <si>
    <t>C.II.8.7.</t>
  </si>
  <si>
    <t>Časové rozlišení pasiv</t>
  </si>
  <si>
    <t>Liability accruals and referrals</t>
  </si>
  <si>
    <t>Accrued expenses</t>
  </si>
  <si>
    <t>Deferred revenue</t>
  </si>
  <si>
    <r>
      <rPr>
        <b/>
        <sz val="6"/>
        <rFont val="Arial CE"/>
      </rPr>
      <t>Equity</t>
    </r>
    <r>
      <rPr>
        <sz val="6"/>
        <rFont val="Arial CE"/>
        <family val="2"/>
        <charset val="238"/>
      </rPr>
      <t xml:space="preserve"> / Vlastní kapitál</t>
    </r>
  </si>
  <si>
    <r>
      <rPr>
        <b/>
        <sz val="6"/>
        <rFont val="Arial CE"/>
      </rPr>
      <t>Provisions and liabilities</t>
    </r>
    <r>
      <rPr>
        <sz val="6"/>
        <rFont val="Arial CE"/>
        <family val="2"/>
        <charset val="238"/>
      </rPr>
      <t xml:space="preserve"> / Cizí kapitál</t>
    </r>
  </si>
  <si>
    <r>
      <rPr>
        <b/>
        <sz val="6"/>
        <rFont val="Arial CE"/>
      </rPr>
      <t>Revenues on sale of products and services</t>
    </r>
    <r>
      <rPr>
        <sz val="6"/>
        <rFont val="Arial CE"/>
        <family val="2"/>
        <charset val="238"/>
      </rPr>
      <t xml:space="preserve"> / Celkové tržby z produkce</t>
    </r>
  </si>
  <si>
    <r>
      <rPr>
        <b/>
        <sz val="6"/>
        <rFont val="Arial CE"/>
      </rPr>
      <t>Added value</t>
    </r>
    <r>
      <rPr>
        <sz val="6"/>
        <rFont val="Arial CE"/>
        <family val="2"/>
        <charset val="238"/>
      </rPr>
      <t xml:space="preserve"> / Přidaná hodnota</t>
    </r>
  </si>
  <si>
    <r>
      <rPr>
        <b/>
        <sz val="6"/>
        <rFont val="Arial CE"/>
      </rPr>
      <t>Operating profit (loss) (+/-)</t>
    </r>
    <r>
      <rPr>
        <sz val="6"/>
        <rFont val="Arial CE"/>
        <family val="2"/>
        <charset val="238"/>
      </rPr>
      <t xml:space="preserve"> / Provozní výsledek hospodaření</t>
    </r>
  </si>
  <si>
    <r>
      <rPr>
        <b/>
        <sz val="6"/>
        <rFont val="Arial CE"/>
      </rPr>
      <t>Income (loss) after tax (+/-)</t>
    </r>
    <r>
      <rPr>
        <sz val="6"/>
        <rFont val="Arial CE"/>
        <family val="2"/>
        <charset val="238"/>
      </rPr>
      <t xml:space="preserve"> / Výsledek hospodaření po zdanění</t>
    </r>
  </si>
  <si>
    <r>
      <rPr>
        <b/>
        <sz val="6"/>
        <rFont val="Arial CE"/>
      </rPr>
      <t>Income (loss) before tax (+/-)</t>
    </r>
    <r>
      <rPr>
        <sz val="6"/>
        <rFont val="Arial CE"/>
        <family val="2"/>
        <charset val="238"/>
      </rPr>
      <t xml:space="preserve"> / Výsledek hospodaření před zdaněním</t>
    </r>
  </si>
  <si>
    <r>
      <rPr>
        <b/>
        <sz val="6"/>
        <rFont val="Arial CE"/>
      </rPr>
      <t>TOTAL ASSETS</t>
    </r>
    <r>
      <rPr>
        <sz val="6"/>
        <rFont val="Arial CE"/>
        <family val="2"/>
        <charset val="238"/>
      </rPr>
      <t xml:space="preserve"> / AKTÍVA CELKEM</t>
    </r>
  </si>
  <si>
    <t>stav k 31.12.2023</t>
  </si>
  <si>
    <t>stav k 30.09.2024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</si>
</sst>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K_č_-;\-* #,##0.00\ _K_č_-;_-* &quot;-&quot;??\ _K_č_-;_-@_-"/>
    <numFmt numFmtId="165" formatCode="#,##0.0"/>
    <numFmt numFmtId="166" formatCode="#,##0.0_);\(#,##0.0\)"/>
    <numFmt numFmtId="167" formatCode="#,##0.0;\-#,##0.0"/>
    <numFmt numFmtId="168" formatCode="#,##0.000"/>
    <numFmt numFmtId="169" formatCode="0.0%"/>
    <numFmt numFmtId="170" formatCode="_-* #,##0\ _K_č_-;\-* #,##0\ _K_č_-;_-* &quot;-&quot;??\ _K_č_-;_-@_-"/>
  </numFmts>
  <fonts count="20" x14ac:knownFonts="1">
    <font>
      <sz val="8"/>
      <name val="Arial CE"/>
      <family val="2"/>
      <charset val="238"/>
    </font>
    <font>
      <sz val="10"/>
      <name val="Arial CE"/>
      <charset val="238"/>
    </font>
    <font>
      <sz val="8"/>
      <name val="Arial CE"/>
      <family val="2"/>
      <charset val="238"/>
    </font>
    <font>
      <sz val="8"/>
      <color indexed="18"/>
      <name val="Arial CE"/>
      <family val="2"/>
      <charset val="238"/>
    </font>
    <font>
      <b/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8"/>
      <color indexed="18"/>
      <name val="Arial CE"/>
      <family val="2"/>
      <charset val="238"/>
    </font>
    <font>
      <sz val="8"/>
      <name val="Arial CE"/>
      <family val="2"/>
      <charset val="238"/>
    </font>
    <font>
      <sz val="10"/>
      <name val="Arial"/>
      <family val="2"/>
      <charset val="238"/>
    </font>
    <font>
      <b/>
      <sz val="11"/>
      <name val="Arial CE"/>
      <charset val="238"/>
    </font>
    <font>
      <sz val="8"/>
      <name val="Arial CE"/>
      <charset val="238"/>
    </font>
    <font>
      <b/>
      <sz val="6"/>
      <name val="Arial CE"/>
      <family val="2"/>
      <charset val="238"/>
    </font>
    <font>
      <sz val="6"/>
      <name val="Arial CE"/>
      <family val="2"/>
      <charset val="238"/>
    </font>
    <font>
      <sz val="6"/>
      <color indexed="18"/>
      <name val="Arial CE"/>
      <family val="2"/>
      <charset val="238"/>
    </font>
    <font>
      <sz val="9"/>
      <color rgb="FF404040"/>
      <name val="Segoe UI"/>
      <family val="2"/>
      <charset val="238"/>
    </font>
    <font>
      <b/>
      <sz val="6"/>
      <color rgb="FFFF0000"/>
      <name val="Arial CE"/>
    </font>
    <font>
      <b/>
      <sz val="8"/>
      <name val="Arial CE"/>
    </font>
    <font>
      <sz val="8"/>
      <name val="Arial CE"/>
    </font>
    <font>
      <b/>
      <sz val="6"/>
      <name val="Arial CE"/>
    </font>
    <font>
      <sz val="6"/>
      <name val="Arial CE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E3D5"/>
        <bgColor rgb="FFFFE3D5"/>
      </patternFill>
    </fill>
    <fill>
      <patternFill patternType="solid">
        <fgColor rgb="FFFFFFFF"/>
        <bgColor rgb="FFFFFFFF"/>
      </patternFill>
    </fill>
    <fill>
      <patternFill patternType="solid">
        <fgColor rgb="FFE0E0E0"/>
        <bgColor rgb="FFE0E0E0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rgb="FFFFE3D5"/>
      </patternFill>
    </fill>
  </fills>
  <borders count="3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</borders>
  <cellStyleXfs count="17">
    <xf numFmtId="165" fontId="0" fillId="0" borderId="0"/>
    <xf numFmtId="164" fontId="1" fillId="0" borderId="0" applyFont="0" applyFill="0" applyBorder="0" applyAlignment="0" applyProtection="0"/>
    <xf numFmtId="1" fontId="2" fillId="0" borderId="1" applyFill="0">
      <alignment horizontal="center"/>
    </xf>
    <xf numFmtId="1" fontId="3" fillId="0" borderId="1">
      <alignment horizontal="center"/>
      <protection locked="0"/>
    </xf>
    <xf numFmtId="167" fontId="4" fillId="0" borderId="1" applyFill="0" applyProtection="0"/>
    <xf numFmtId="167" fontId="4" fillId="1" borderId="1"/>
    <xf numFmtId="166" fontId="5" fillId="0" borderId="0" applyNumberFormat="0" applyFill="0" applyBorder="0" applyAlignment="0"/>
    <xf numFmtId="3" fontId="4" fillId="0" borderId="0"/>
    <xf numFmtId="9" fontId="1" fillId="0" borderId="0" applyFont="0" applyFill="0" applyBorder="0" applyAlignment="0" applyProtection="0"/>
    <xf numFmtId="1" fontId="4" fillId="0" borderId="0" applyFill="0" applyBorder="0">
      <alignment horizontal="right"/>
    </xf>
    <xf numFmtId="165" fontId="2" fillId="0" borderId="1"/>
    <xf numFmtId="165" fontId="2" fillId="0" borderId="2" applyNumberFormat="0" applyFill="0" applyAlignment="0">
      <alignment horizontal="left"/>
    </xf>
    <xf numFmtId="165" fontId="3" fillId="0" borderId="1">
      <protection locked="0"/>
    </xf>
    <xf numFmtId="165" fontId="3" fillId="0" borderId="3">
      <protection locked="0"/>
    </xf>
    <xf numFmtId="165" fontId="6" fillId="0" borderId="1">
      <protection locked="0"/>
    </xf>
    <xf numFmtId="3" fontId="2" fillId="0" borderId="0"/>
    <xf numFmtId="0" fontId="8" fillId="0" borderId="0"/>
  </cellStyleXfs>
  <cellXfs count="359">
    <xf numFmtId="165" fontId="0" fillId="0" borderId="0" xfId="0"/>
    <xf numFmtId="165" fontId="2" fillId="0" borderId="0" xfId="0" applyFont="1"/>
    <xf numFmtId="165" fontId="4" fillId="0" borderId="0" xfId="0" applyFont="1"/>
    <xf numFmtId="165" fontId="0" fillId="0" borderId="0" xfId="0" applyAlignment="1">
      <alignment horizontal="left"/>
    </xf>
    <xf numFmtId="165" fontId="4" fillId="0" borderId="0" xfId="0" applyFont="1" applyAlignment="1">
      <alignment horizontal="left"/>
    </xf>
    <xf numFmtId="166" fontId="5" fillId="0" borderId="0" xfId="6"/>
    <xf numFmtId="1" fontId="4" fillId="0" borderId="0" xfId="9" applyFill="1" applyBorder="1">
      <alignment horizontal="right"/>
    </xf>
    <xf numFmtId="1" fontId="4" fillId="0" borderId="0" xfId="9">
      <alignment horizontal="right"/>
    </xf>
    <xf numFmtId="3" fontId="4" fillId="0" borderId="0" xfId="7"/>
    <xf numFmtId="165" fontId="2" fillId="0" borderId="4" xfId="0" applyFont="1" applyBorder="1"/>
    <xf numFmtId="165" fontId="2" fillId="0" borderId="5" xfId="0" applyFont="1" applyBorder="1"/>
    <xf numFmtId="165" fontId="2" fillId="0" borderId="6" xfId="0" applyFont="1" applyBorder="1"/>
    <xf numFmtId="165" fontId="4" fillId="0" borderId="4" xfId="0" applyFont="1" applyBorder="1"/>
    <xf numFmtId="165" fontId="4" fillId="0" borderId="5" xfId="0" applyFont="1" applyBorder="1"/>
    <xf numFmtId="165" fontId="4" fillId="0" borderId="6" xfId="0" applyFont="1" applyBorder="1"/>
    <xf numFmtId="1" fontId="2" fillId="0" borderId="7" xfId="2" applyBorder="1">
      <alignment horizontal="center"/>
    </xf>
    <xf numFmtId="1" fontId="2" fillId="0" borderId="8" xfId="2" applyBorder="1">
      <alignment horizontal="center"/>
    </xf>
    <xf numFmtId="1" fontId="2" fillId="0" borderId="4" xfId="2" applyBorder="1" applyAlignment="1">
      <alignment horizontal="right"/>
    </xf>
    <xf numFmtId="1" fontId="2" fillId="0" borderId="6" xfId="2" applyBorder="1">
      <alignment horizontal="center"/>
    </xf>
    <xf numFmtId="1" fontId="2" fillId="0" borderId="4" xfId="2" applyBorder="1" applyAlignment="1">
      <alignment horizontal="left"/>
    </xf>
    <xf numFmtId="1" fontId="2" fillId="0" borderId="4" xfId="2" applyBorder="1">
      <alignment horizontal="center"/>
    </xf>
    <xf numFmtId="1" fontId="4" fillId="0" borderId="4" xfId="2" applyFont="1" applyBorder="1">
      <alignment horizontal="center"/>
    </xf>
    <xf numFmtId="1" fontId="4" fillId="0" borderId="6" xfId="2" applyFont="1" applyBorder="1">
      <alignment horizontal="center"/>
    </xf>
    <xf numFmtId="1" fontId="4" fillId="0" borderId="4" xfId="2" quotePrefix="1" applyFont="1" applyBorder="1">
      <alignment horizontal="center"/>
    </xf>
    <xf numFmtId="1" fontId="2" fillId="0" borderId="4" xfId="2" quotePrefix="1" applyBorder="1">
      <alignment horizontal="center"/>
    </xf>
    <xf numFmtId="3" fontId="3" fillId="0" borderId="9" xfId="12" applyNumberFormat="1" applyBorder="1">
      <protection locked="0"/>
    </xf>
    <xf numFmtId="3" fontId="2" fillId="0" borderId="9" xfId="10" applyNumberFormat="1" applyBorder="1"/>
    <xf numFmtId="3" fontId="2" fillId="0" borderId="9" xfId="4" applyNumberFormat="1" applyFont="1" applyBorder="1"/>
    <xf numFmtId="3" fontId="2" fillId="0" borderId="9" xfId="4" applyNumberFormat="1" applyFont="1" applyBorder="1" applyProtection="1"/>
    <xf numFmtId="3" fontId="4" fillId="0" borderId="9" xfId="4" applyNumberFormat="1" applyBorder="1" applyProtection="1"/>
    <xf numFmtId="3" fontId="2" fillId="0" borderId="9" xfId="12" applyNumberFormat="1" applyFont="1" applyBorder="1">
      <protection locked="0"/>
    </xf>
    <xf numFmtId="1" fontId="2" fillId="0" borderId="7" xfId="2" applyBorder="1" applyAlignment="1">
      <alignment horizontal="left"/>
    </xf>
    <xf numFmtId="165" fontId="2" fillId="0" borderId="7" xfId="0" applyFont="1" applyBorder="1"/>
    <xf numFmtId="165" fontId="2" fillId="0" borderId="8" xfId="0" applyFont="1" applyBorder="1"/>
    <xf numFmtId="165" fontId="2" fillId="0" borderId="10" xfId="0" applyFont="1" applyBorder="1"/>
    <xf numFmtId="3" fontId="2" fillId="0" borderId="11" xfId="12" applyNumberFormat="1" applyFont="1" applyBorder="1">
      <protection locked="0"/>
    </xf>
    <xf numFmtId="3" fontId="2" fillId="0" borderId="10" xfId="12" applyNumberFormat="1" applyFont="1" applyBorder="1">
      <protection locked="0"/>
    </xf>
    <xf numFmtId="1" fontId="2" fillId="0" borderId="12" xfId="2" applyBorder="1" applyAlignment="1">
      <alignment horizontal="left"/>
    </xf>
    <xf numFmtId="1" fontId="2" fillId="0" borderId="13" xfId="2" applyBorder="1">
      <alignment horizontal="center"/>
    </xf>
    <xf numFmtId="165" fontId="2" fillId="0" borderId="12" xfId="0" applyFont="1" applyBorder="1"/>
    <xf numFmtId="165" fontId="2" fillId="0" borderId="13" xfId="0" applyFont="1" applyBorder="1"/>
    <xf numFmtId="165" fontId="2" fillId="0" borderId="14" xfId="0" applyFont="1" applyBorder="1"/>
    <xf numFmtId="3" fontId="2" fillId="0" borderId="15" xfId="4" applyNumberFormat="1" applyFont="1" applyBorder="1" applyProtection="1"/>
    <xf numFmtId="3" fontId="2" fillId="0" borderId="14" xfId="4" applyNumberFormat="1" applyFont="1" applyBorder="1" applyProtection="1"/>
    <xf numFmtId="1" fontId="2" fillId="0" borderId="5" xfId="2" applyBorder="1">
      <alignment horizontal="center"/>
    </xf>
    <xf numFmtId="165" fontId="4" fillId="0" borderId="8" xfId="0" applyFont="1" applyBorder="1"/>
    <xf numFmtId="1" fontId="2" fillId="0" borderId="10" xfId="10" applyNumberFormat="1" applyBorder="1"/>
    <xf numFmtId="1" fontId="4" fillId="0" borderId="12" xfId="2" applyFont="1" applyBorder="1" applyAlignment="1">
      <alignment horizontal="left"/>
    </xf>
    <xf numFmtId="165" fontId="2" fillId="0" borderId="13" xfId="10" applyBorder="1"/>
    <xf numFmtId="167" fontId="4" fillId="0" borderId="13" xfId="4" applyBorder="1"/>
    <xf numFmtId="3" fontId="4" fillId="0" borderId="15" xfId="4" applyNumberFormat="1" applyBorder="1"/>
    <xf numFmtId="3" fontId="4" fillId="0" borderId="14" xfId="4" applyNumberFormat="1" applyBorder="1"/>
    <xf numFmtId="1" fontId="4" fillId="0" borderId="4" xfId="2" applyFont="1" applyBorder="1" applyAlignment="1">
      <alignment horizontal="left"/>
    </xf>
    <xf numFmtId="167" fontId="4" fillId="0" borderId="5" xfId="4" applyBorder="1"/>
    <xf numFmtId="3" fontId="4" fillId="0" borderId="9" xfId="4" applyNumberFormat="1" applyBorder="1"/>
    <xf numFmtId="3" fontId="4" fillId="0" borderId="6" xfId="4" applyNumberFormat="1" applyBorder="1"/>
    <xf numFmtId="167" fontId="4" fillId="0" borderId="4" xfId="4" applyBorder="1"/>
    <xf numFmtId="1" fontId="2" fillId="0" borderId="5" xfId="2" quotePrefix="1" applyBorder="1">
      <alignment horizontal="center"/>
    </xf>
    <xf numFmtId="165" fontId="2" fillId="0" borderId="5" xfId="10" applyBorder="1"/>
    <xf numFmtId="3" fontId="2" fillId="0" borderId="6" xfId="10" applyNumberFormat="1" applyBorder="1"/>
    <xf numFmtId="3" fontId="4" fillId="0" borderId="9" xfId="10" applyNumberFormat="1" applyFont="1" applyBorder="1"/>
    <xf numFmtId="3" fontId="4" fillId="0" borderId="6" xfId="10" applyNumberFormat="1" applyFont="1" applyBorder="1"/>
    <xf numFmtId="165" fontId="4" fillId="0" borderId="12" xfId="0" applyFont="1" applyBorder="1"/>
    <xf numFmtId="1" fontId="2" fillId="0" borderId="16" xfId="2" applyBorder="1">
      <alignment horizontal="center"/>
    </xf>
    <xf numFmtId="1" fontId="2" fillId="0" borderId="17" xfId="2" applyBorder="1">
      <alignment horizontal="center"/>
    </xf>
    <xf numFmtId="165" fontId="4" fillId="0" borderId="17" xfId="0" applyFont="1" applyBorder="1"/>
    <xf numFmtId="165" fontId="2" fillId="0" borderId="17" xfId="0" applyFont="1" applyBorder="1"/>
    <xf numFmtId="1" fontId="4" fillId="0" borderId="18" xfId="10" applyNumberFormat="1" applyFont="1" applyBorder="1"/>
    <xf numFmtId="1" fontId="4" fillId="0" borderId="19" xfId="2" applyFont="1" applyBorder="1" applyAlignment="1">
      <alignment horizontal="left"/>
    </xf>
    <xf numFmtId="1" fontId="2" fillId="0" borderId="0" xfId="2" applyBorder="1">
      <alignment horizontal="center"/>
    </xf>
    <xf numFmtId="167" fontId="4" fillId="0" borderId="20" xfId="4" applyBorder="1"/>
    <xf numFmtId="165" fontId="2" fillId="0" borderId="21" xfId="10" applyBorder="1"/>
    <xf numFmtId="167" fontId="4" fillId="0" borderId="0" xfId="4" applyBorder="1"/>
    <xf numFmtId="3" fontId="4" fillId="0" borderId="22" xfId="4" applyNumberFormat="1" applyBorder="1"/>
    <xf numFmtId="3" fontId="4" fillId="0" borderId="23" xfId="4" applyNumberFormat="1" applyBorder="1"/>
    <xf numFmtId="1" fontId="2" fillId="0" borderId="13" xfId="2" quotePrefix="1" applyBorder="1">
      <alignment horizontal="center"/>
    </xf>
    <xf numFmtId="165" fontId="2" fillId="0" borderId="24" xfId="10" applyBorder="1"/>
    <xf numFmtId="3" fontId="4" fillId="0" borderId="15" xfId="10" applyNumberFormat="1" applyFont="1" applyBorder="1"/>
    <xf numFmtId="3" fontId="4" fillId="0" borderId="14" xfId="10" applyNumberFormat="1" applyFont="1" applyBorder="1"/>
    <xf numFmtId="165" fontId="4" fillId="0" borderId="25" xfId="10" applyFont="1" applyBorder="1"/>
    <xf numFmtId="165" fontId="4" fillId="0" borderId="26" xfId="10" applyFont="1" applyBorder="1"/>
    <xf numFmtId="165" fontId="2" fillId="0" borderId="26" xfId="10" applyBorder="1"/>
    <xf numFmtId="165" fontId="4" fillId="0" borderId="25" xfId="0" applyFont="1" applyBorder="1"/>
    <xf numFmtId="167" fontId="2" fillId="0" borderId="0" xfId="4" applyFont="1" applyBorder="1"/>
    <xf numFmtId="1" fontId="2" fillId="0" borderId="0" xfId="9" applyFont="1" applyBorder="1">
      <alignment horizontal="right"/>
    </xf>
    <xf numFmtId="1" fontId="4" fillId="0" borderId="12" xfId="2" applyFont="1" applyBorder="1">
      <alignment horizontal="center"/>
    </xf>
    <xf numFmtId="167" fontId="4" fillId="0" borderId="12" xfId="4" applyBorder="1" applyProtection="1"/>
    <xf numFmtId="165" fontId="4" fillId="0" borderId="13" xfId="10" applyFont="1" applyBorder="1"/>
    <xf numFmtId="3" fontId="4" fillId="0" borderId="13" xfId="4" applyNumberFormat="1" applyBorder="1"/>
    <xf numFmtId="167" fontId="4" fillId="0" borderId="4" xfId="4" applyBorder="1" applyProtection="1"/>
    <xf numFmtId="167" fontId="4" fillId="0" borderId="5" xfId="4" applyBorder="1" applyProtection="1"/>
    <xf numFmtId="165" fontId="0" fillId="0" borderId="5" xfId="0" applyBorder="1"/>
    <xf numFmtId="165" fontId="0" fillId="0" borderId="6" xfId="0" applyBorder="1"/>
    <xf numFmtId="3" fontId="4" fillId="0" borderId="5" xfId="4" applyNumberFormat="1" applyBorder="1" applyProtection="1"/>
    <xf numFmtId="167" fontId="2" fillId="0" borderId="4" xfId="4" applyFont="1" applyBorder="1"/>
    <xf numFmtId="3" fontId="2" fillId="0" borderId="5" xfId="4" applyNumberFormat="1" applyFont="1" applyBorder="1"/>
    <xf numFmtId="3" fontId="2" fillId="0" borderId="6" xfId="4" applyNumberFormat="1" applyFont="1" applyBorder="1"/>
    <xf numFmtId="1" fontId="2" fillId="0" borderId="5" xfId="2" applyBorder="1" applyAlignment="1">
      <alignment horizontal="left"/>
    </xf>
    <xf numFmtId="3" fontId="2" fillId="0" borderId="5" xfId="10" applyNumberFormat="1" applyBorder="1"/>
    <xf numFmtId="165" fontId="4" fillId="0" borderId="5" xfId="10" applyFont="1" applyBorder="1"/>
    <xf numFmtId="3" fontId="4" fillId="0" borderId="5" xfId="10" applyNumberFormat="1" applyFont="1" applyBorder="1"/>
    <xf numFmtId="3" fontId="4" fillId="0" borderId="5" xfId="4" applyNumberFormat="1" applyBorder="1"/>
    <xf numFmtId="1" fontId="2" fillId="0" borderId="7" xfId="2" applyBorder="1" applyAlignment="1">
      <alignment horizontal="right"/>
    </xf>
    <xf numFmtId="1" fontId="2" fillId="0" borderId="10" xfId="2" applyBorder="1">
      <alignment horizontal="center"/>
    </xf>
    <xf numFmtId="3" fontId="2" fillId="0" borderId="11" xfId="10" applyNumberFormat="1" applyBorder="1"/>
    <xf numFmtId="1" fontId="2" fillId="0" borderId="14" xfId="2" applyBorder="1">
      <alignment horizontal="center"/>
    </xf>
    <xf numFmtId="3" fontId="2" fillId="0" borderId="15" xfId="12" applyNumberFormat="1" applyFont="1" applyBorder="1">
      <protection locked="0"/>
    </xf>
    <xf numFmtId="3" fontId="2" fillId="0" borderId="15" xfId="10" applyNumberFormat="1" applyBorder="1"/>
    <xf numFmtId="1" fontId="2" fillId="0" borderId="12" xfId="2" applyBorder="1">
      <alignment horizontal="center"/>
    </xf>
    <xf numFmtId="1" fontId="2" fillId="0" borderId="19" xfId="2" applyBorder="1">
      <alignment horizontal="center"/>
    </xf>
    <xf numFmtId="1" fontId="2" fillId="0" borderId="23" xfId="2" applyBorder="1">
      <alignment horizontal="center"/>
    </xf>
    <xf numFmtId="165" fontId="2" fillId="0" borderId="19" xfId="0" applyFont="1" applyBorder="1"/>
    <xf numFmtId="165" fontId="2" fillId="0" borderId="23" xfId="0" applyFont="1" applyBorder="1"/>
    <xf numFmtId="3" fontId="2" fillId="0" borderId="22" xfId="12" applyNumberFormat="1" applyFont="1" applyBorder="1">
      <protection locked="0"/>
    </xf>
    <xf numFmtId="3" fontId="2" fillId="0" borderId="22" xfId="10" applyNumberFormat="1" applyBorder="1"/>
    <xf numFmtId="3" fontId="2" fillId="0" borderId="11" xfId="4" applyNumberFormat="1" applyFont="1" applyBorder="1" applyProtection="1"/>
    <xf numFmtId="1" fontId="2" fillId="0" borderId="19" xfId="2" applyBorder="1" applyAlignment="1">
      <alignment horizontal="left"/>
    </xf>
    <xf numFmtId="3" fontId="2" fillId="0" borderId="22" xfId="4" applyNumberFormat="1" applyFont="1" applyBorder="1" applyProtection="1"/>
    <xf numFmtId="1" fontId="2" fillId="0" borderId="12" xfId="2" applyBorder="1" applyAlignment="1">
      <alignment horizontal="right"/>
    </xf>
    <xf numFmtId="3" fontId="2" fillId="0" borderId="23" xfId="12" applyNumberFormat="1" applyFont="1" applyBorder="1">
      <protection locked="0"/>
    </xf>
    <xf numFmtId="1" fontId="2" fillId="0" borderId="8" xfId="2" quotePrefix="1" applyBorder="1">
      <alignment horizontal="center"/>
    </xf>
    <xf numFmtId="165" fontId="2" fillId="0" borderId="8" xfId="10" applyBorder="1"/>
    <xf numFmtId="167" fontId="4" fillId="0" borderId="8" xfId="4" applyBorder="1"/>
    <xf numFmtId="3" fontId="2" fillId="0" borderId="10" xfId="10" applyNumberFormat="1" applyBorder="1"/>
    <xf numFmtId="3" fontId="3" fillId="0" borderId="15" xfId="12" applyNumberFormat="1" applyBorder="1">
      <protection locked="0"/>
    </xf>
    <xf numFmtId="3" fontId="2" fillId="0" borderId="14" xfId="10" applyNumberFormat="1" applyBorder="1"/>
    <xf numFmtId="1" fontId="2" fillId="0" borderId="0" xfId="2" quotePrefix="1" applyBorder="1">
      <alignment horizontal="center"/>
    </xf>
    <xf numFmtId="165" fontId="2" fillId="0" borderId="0" xfId="10" applyBorder="1"/>
    <xf numFmtId="3" fontId="2" fillId="0" borderId="23" xfId="10" applyNumberFormat="1" applyBorder="1"/>
    <xf numFmtId="3" fontId="7" fillId="0" borderId="22" xfId="10" applyNumberFormat="1" applyFont="1" applyBorder="1"/>
    <xf numFmtId="3" fontId="7" fillId="0" borderId="23" xfId="10" applyNumberFormat="1" applyFont="1" applyBorder="1"/>
    <xf numFmtId="165" fontId="2" fillId="0" borderId="7" xfId="10" applyBorder="1"/>
    <xf numFmtId="165" fontId="2" fillId="0" borderId="12" xfId="10" applyBorder="1"/>
    <xf numFmtId="165" fontId="2" fillId="0" borderId="19" xfId="10" applyBorder="1"/>
    <xf numFmtId="165" fontId="2" fillId="0" borderId="27" xfId="10" applyBorder="1"/>
    <xf numFmtId="165" fontId="2" fillId="0" borderId="28" xfId="10" applyBorder="1"/>
    <xf numFmtId="165" fontId="2" fillId="0" borderId="29" xfId="10" applyBorder="1"/>
    <xf numFmtId="165" fontId="2" fillId="0" borderId="20" xfId="10" applyBorder="1"/>
    <xf numFmtId="165" fontId="4" fillId="0" borderId="30" xfId="0" applyFont="1" applyBorder="1"/>
    <xf numFmtId="1" fontId="2" fillId="0" borderId="8" xfId="2" applyBorder="1" applyAlignment="1">
      <alignment horizontal="left"/>
    </xf>
    <xf numFmtId="167" fontId="2" fillId="0" borderId="7" xfId="4" applyFont="1" applyBorder="1"/>
    <xf numFmtId="1" fontId="2" fillId="0" borderId="13" xfId="2" applyBorder="1" applyAlignment="1">
      <alignment horizontal="left"/>
    </xf>
    <xf numFmtId="167" fontId="2" fillId="0" borderId="12" xfId="4" applyFont="1" applyBorder="1"/>
    <xf numFmtId="1" fontId="2" fillId="0" borderId="0" xfId="2" applyBorder="1" applyAlignment="1">
      <alignment horizontal="left"/>
    </xf>
    <xf numFmtId="167" fontId="2" fillId="0" borderId="19" xfId="4" applyFont="1" applyBorder="1"/>
    <xf numFmtId="165" fontId="0" fillId="0" borderId="9" xfId="0" applyBorder="1"/>
    <xf numFmtId="1" fontId="4" fillId="0" borderId="9" xfId="9" applyFill="1" applyBorder="1">
      <alignment horizontal="right"/>
    </xf>
    <xf numFmtId="1" fontId="4" fillId="0" borderId="11" xfId="9" applyFill="1" applyBorder="1">
      <alignment horizontal="right"/>
    </xf>
    <xf numFmtId="4" fontId="2" fillId="0" borderId="9" xfId="10" applyNumberFormat="1" applyBorder="1"/>
    <xf numFmtId="1" fontId="2" fillId="0" borderId="9" xfId="10" applyNumberFormat="1" applyBorder="1"/>
    <xf numFmtId="3" fontId="2" fillId="2" borderId="9" xfId="10" applyNumberFormat="1" applyFill="1" applyBorder="1" applyProtection="1">
      <protection locked="0"/>
    </xf>
    <xf numFmtId="1" fontId="4" fillId="0" borderId="9" xfId="10" applyNumberFormat="1" applyFont="1" applyBorder="1" applyProtection="1">
      <protection locked="0"/>
    </xf>
    <xf numFmtId="0" fontId="0" fillId="0" borderId="0" xfId="0" applyNumberFormat="1"/>
    <xf numFmtId="1" fontId="2" fillId="3" borderId="6" xfId="2" applyFill="1" applyBorder="1">
      <alignment horizontal="center"/>
    </xf>
    <xf numFmtId="0" fontId="9" fillId="0" borderId="0" xfId="0" applyNumberFormat="1" applyFont="1"/>
    <xf numFmtId="0" fontId="0" fillId="0" borderId="0" xfId="0" applyNumberFormat="1" applyAlignment="1">
      <alignment horizontal="left"/>
    </xf>
    <xf numFmtId="0" fontId="0" fillId="0" borderId="9" xfId="0" applyNumberFormat="1" applyBorder="1"/>
    <xf numFmtId="170" fontId="0" fillId="0" borderId="9" xfId="1" applyNumberFormat="1" applyFont="1" applyBorder="1"/>
    <xf numFmtId="3" fontId="2" fillId="0" borderId="6" xfId="0" applyNumberFormat="1" applyFont="1" applyBorder="1" applyAlignment="1">
      <alignment horizontal="center"/>
    </xf>
    <xf numFmtId="3" fontId="2" fillId="0" borderId="10" xfId="0" applyNumberFormat="1" applyFont="1" applyBorder="1" applyAlignment="1">
      <alignment horizontal="center"/>
    </xf>
    <xf numFmtId="3" fontId="2" fillId="0" borderId="23" xfId="0" applyNumberFormat="1" applyFont="1" applyBorder="1" applyAlignment="1">
      <alignment horizontal="center"/>
    </xf>
    <xf numFmtId="3" fontId="4" fillId="0" borderId="6" xfId="0" applyNumberFormat="1" applyFont="1" applyBorder="1" applyAlignment="1">
      <alignment horizontal="center"/>
    </xf>
    <xf numFmtId="3" fontId="2" fillId="0" borderId="14" xfId="0" applyNumberFormat="1" applyFont="1" applyBorder="1" applyAlignment="1">
      <alignment horizontal="center"/>
    </xf>
    <xf numFmtId="165" fontId="2" fillId="0" borderId="16" xfId="0" applyFont="1" applyBorder="1"/>
    <xf numFmtId="0" fontId="4" fillId="0" borderId="12" xfId="4" applyNumberFormat="1" applyBorder="1" applyAlignment="1">
      <alignment horizontal="center"/>
    </xf>
    <xf numFmtId="0" fontId="4" fillId="0" borderId="4" xfId="4" applyNumberFormat="1" applyBorder="1" applyAlignment="1">
      <alignment horizontal="center"/>
    </xf>
    <xf numFmtId="0" fontId="4" fillId="0" borderId="7" xfId="4" applyNumberFormat="1" applyBorder="1" applyAlignment="1">
      <alignment horizontal="center"/>
    </xf>
    <xf numFmtId="0" fontId="4" fillId="0" borderId="19" xfId="4" applyNumberFormat="1" applyBorder="1" applyAlignment="1">
      <alignment horizontal="center"/>
    </xf>
    <xf numFmtId="0" fontId="4" fillId="0" borderId="31" xfId="4" applyNumberFormat="1" applyBorder="1" applyAlignment="1">
      <alignment horizontal="center"/>
    </xf>
    <xf numFmtId="0" fontId="4" fillId="0" borderId="22" xfId="4" applyNumberFormat="1" applyBorder="1" applyAlignment="1">
      <alignment horizontal="center"/>
    </xf>
    <xf numFmtId="0" fontId="4" fillId="0" borderId="9" xfId="4" applyNumberFormat="1" applyBorder="1" applyAlignment="1">
      <alignment horizontal="center"/>
    </xf>
    <xf numFmtId="0" fontId="4" fillId="0" borderId="11" xfId="4" applyNumberFormat="1" applyBorder="1" applyAlignment="1">
      <alignment horizontal="center"/>
    </xf>
    <xf numFmtId="0" fontId="4" fillId="0" borderId="15" xfId="4" applyNumberFormat="1" applyBorder="1" applyAlignment="1">
      <alignment horizontal="center"/>
    </xf>
    <xf numFmtId="165" fontId="0" fillId="0" borderId="8" xfId="0" applyBorder="1"/>
    <xf numFmtId="165" fontId="0" fillId="0" borderId="10" xfId="0" applyBorder="1"/>
    <xf numFmtId="165" fontId="0" fillId="0" borderId="23" xfId="0" applyBorder="1"/>
    <xf numFmtId="165" fontId="0" fillId="0" borderId="13" xfId="0" applyBorder="1"/>
    <xf numFmtId="165" fontId="0" fillId="0" borderId="14" xfId="0" applyBorder="1"/>
    <xf numFmtId="165" fontId="0" fillId="0" borderId="11" xfId="0" applyBorder="1"/>
    <xf numFmtId="165" fontId="0" fillId="0" borderId="22" xfId="0" applyBorder="1"/>
    <xf numFmtId="165" fontId="0" fillId="0" borderId="15" xfId="0" applyBorder="1"/>
    <xf numFmtId="0" fontId="0" fillId="0" borderId="11" xfId="0" applyNumberFormat="1" applyBorder="1" applyAlignment="1">
      <alignment horizontal="center"/>
    </xf>
    <xf numFmtId="0" fontId="0" fillId="0" borderId="22" xfId="0" applyNumberFormat="1" applyBorder="1" applyAlignment="1">
      <alignment horizontal="center"/>
    </xf>
    <xf numFmtId="165" fontId="0" fillId="0" borderId="7" xfId="0" applyBorder="1"/>
    <xf numFmtId="165" fontId="0" fillId="0" borderId="19" xfId="0" applyBorder="1"/>
    <xf numFmtId="165" fontId="0" fillId="0" borderId="12" xfId="0" applyBorder="1"/>
    <xf numFmtId="0" fontId="0" fillId="0" borderId="15" xfId="0" applyNumberFormat="1" applyBorder="1" applyAlignment="1">
      <alignment horizontal="center"/>
    </xf>
    <xf numFmtId="1" fontId="0" fillId="0" borderId="13" xfId="2" quotePrefix="1" applyFont="1" applyBorder="1">
      <alignment horizontal="center"/>
    </xf>
    <xf numFmtId="0" fontId="10" fillId="0" borderId="7" xfId="4" applyNumberFormat="1" applyFont="1" applyBorder="1" applyAlignment="1">
      <alignment horizontal="center"/>
    </xf>
    <xf numFmtId="0" fontId="10" fillId="0" borderId="19" xfId="4" applyNumberFormat="1" applyFont="1" applyBorder="1" applyAlignment="1">
      <alignment horizontal="center"/>
    </xf>
    <xf numFmtId="0" fontId="10" fillId="0" borderId="12" xfId="4" applyNumberFormat="1" applyFont="1" applyBorder="1" applyAlignment="1">
      <alignment horizontal="center"/>
    </xf>
    <xf numFmtId="1" fontId="4" fillId="0" borderId="7" xfId="2" applyFont="1" applyBorder="1" applyAlignment="1">
      <alignment horizontal="left"/>
    </xf>
    <xf numFmtId="3" fontId="4" fillId="0" borderId="10" xfId="4" applyNumberFormat="1" applyBorder="1"/>
    <xf numFmtId="165" fontId="4" fillId="0" borderId="7" xfId="0" applyFont="1" applyBorder="1"/>
    <xf numFmtId="167" fontId="4" fillId="0" borderId="10" xfId="4" applyBorder="1"/>
    <xf numFmtId="165" fontId="4" fillId="0" borderId="19" xfId="0" applyFont="1" applyBorder="1"/>
    <xf numFmtId="167" fontId="4" fillId="0" borderId="23" xfId="4" applyBorder="1"/>
    <xf numFmtId="0" fontId="4" fillId="0" borderId="10" xfId="4" applyNumberFormat="1" applyBorder="1" applyAlignment="1">
      <alignment horizontal="center"/>
    </xf>
    <xf numFmtId="0" fontId="4" fillId="0" borderId="23" xfId="4" applyNumberFormat="1" applyBorder="1" applyAlignment="1">
      <alignment horizontal="center"/>
    </xf>
    <xf numFmtId="0" fontId="4" fillId="0" borderId="14" xfId="4" applyNumberFormat="1" applyFill="1" applyBorder="1" applyAlignment="1">
      <alignment horizontal="center"/>
    </xf>
    <xf numFmtId="3" fontId="4" fillId="0" borderId="10" xfId="10" applyNumberFormat="1" applyFont="1" applyBorder="1"/>
    <xf numFmtId="3" fontId="4" fillId="0" borderId="23" xfId="10" applyNumberFormat="1" applyFont="1" applyBorder="1"/>
    <xf numFmtId="167" fontId="4" fillId="0" borderId="6" xfId="4" applyBorder="1"/>
    <xf numFmtId="1" fontId="2" fillId="0" borderId="7" xfId="2" quotePrefix="1" applyBorder="1" applyAlignment="1">
      <alignment horizontal="left"/>
    </xf>
    <xf numFmtId="1" fontId="2" fillId="0" borderId="19" xfId="2" quotePrefix="1" applyBorder="1" applyAlignment="1">
      <alignment horizontal="left"/>
    </xf>
    <xf numFmtId="1" fontId="0" fillId="0" borderId="19" xfId="2" quotePrefix="1" applyFont="1" applyBorder="1" applyAlignment="1">
      <alignment horizontal="left"/>
    </xf>
    <xf numFmtId="1" fontId="0" fillId="0" borderId="12" xfId="2" quotePrefix="1" applyFont="1" applyBorder="1" applyAlignment="1">
      <alignment horizontal="left"/>
    </xf>
    <xf numFmtId="167" fontId="4" fillId="0" borderId="14" xfId="4" applyBorder="1"/>
    <xf numFmtId="165" fontId="2" fillId="0" borderId="0" xfId="11" applyBorder="1" applyAlignment="1"/>
    <xf numFmtId="165" fontId="2" fillId="0" borderId="13" xfId="11" applyBorder="1" applyAlignment="1"/>
    <xf numFmtId="166" fontId="2" fillId="0" borderId="0" xfId="11" applyNumberFormat="1" applyBorder="1" applyAlignment="1">
      <alignment horizontal="left"/>
    </xf>
    <xf numFmtId="166" fontId="2" fillId="0" borderId="13" xfId="11" applyNumberFormat="1" applyBorder="1" applyAlignment="1">
      <alignment horizontal="left"/>
    </xf>
    <xf numFmtId="1" fontId="2" fillId="0" borderId="12" xfId="2" quotePrefix="1" applyBorder="1" applyAlignment="1">
      <alignment horizontal="left"/>
    </xf>
    <xf numFmtId="3" fontId="2" fillId="0" borderId="22" xfId="10" applyNumberFormat="1" applyBorder="1" applyAlignment="1">
      <alignment horizontal="center"/>
    </xf>
    <xf numFmtId="165" fontId="0" fillId="0" borderId="7" xfId="0" quotePrefix="1" applyBorder="1"/>
    <xf numFmtId="165" fontId="0" fillId="0" borderId="12" xfId="10" quotePrefix="1" applyFont="1" applyBorder="1"/>
    <xf numFmtId="1" fontId="0" fillId="0" borderId="8" xfId="2" quotePrefix="1" applyFont="1" applyBorder="1" applyAlignment="1">
      <alignment horizontal="left"/>
    </xf>
    <xf numFmtId="165" fontId="0" fillId="0" borderId="13" xfId="10" quotePrefix="1" applyFont="1" applyBorder="1"/>
    <xf numFmtId="1" fontId="2" fillId="0" borderId="14" xfId="2" quotePrefix="1" applyBorder="1">
      <alignment horizontal="center"/>
    </xf>
    <xf numFmtId="165" fontId="0" fillId="0" borderId="27" xfId="10" quotePrefix="1" applyFont="1" applyBorder="1"/>
    <xf numFmtId="3" fontId="4" fillId="0" borderId="11" xfId="10" applyNumberFormat="1" applyFont="1" applyBorder="1"/>
    <xf numFmtId="3" fontId="4" fillId="0" borderId="22" xfId="10" applyNumberFormat="1" applyFont="1" applyBorder="1"/>
    <xf numFmtId="0" fontId="10" fillId="0" borderId="11" xfId="4" applyNumberFormat="1" applyFont="1" applyBorder="1" applyAlignment="1">
      <alignment horizontal="center"/>
    </xf>
    <xf numFmtId="0" fontId="10" fillId="0" borderId="22" xfId="4" applyNumberFormat="1" applyFont="1" applyBorder="1" applyAlignment="1">
      <alignment horizontal="center"/>
    </xf>
    <xf numFmtId="0" fontId="10" fillId="0" borderId="15" xfId="4" applyNumberFormat="1" applyFont="1" applyBorder="1" applyAlignment="1">
      <alignment horizontal="center"/>
    </xf>
    <xf numFmtId="165" fontId="4" fillId="0" borderId="13" xfId="0" applyFont="1" applyBorder="1"/>
    <xf numFmtId="0" fontId="4" fillId="0" borderId="14" xfId="4" applyNumberFormat="1" applyBorder="1" applyAlignment="1">
      <alignment horizontal="center"/>
    </xf>
    <xf numFmtId="165" fontId="10" fillId="0" borderId="0" xfId="0" applyFont="1"/>
    <xf numFmtId="0" fontId="0" fillId="0" borderId="9" xfId="0" applyNumberFormat="1" applyBorder="1" applyAlignment="1">
      <alignment horizontal="center"/>
    </xf>
    <xf numFmtId="3" fontId="4" fillId="0" borderId="6" xfId="4" applyNumberFormat="1" applyBorder="1" applyProtection="1"/>
    <xf numFmtId="167" fontId="10" fillId="0" borderId="4" xfId="4" applyFont="1" applyBorder="1" applyProtection="1"/>
    <xf numFmtId="1" fontId="10" fillId="0" borderId="4" xfId="2" applyFont="1" applyBorder="1">
      <alignment horizontal="center"/>
    </xf>
    <xf numFmtId="3" fontId="2" fillId="4" borderId="8" xfId="10" applyNumberFormat="1" applyFill="1" applyBorder="1"/>
    <xf numFmtId="3" fontId="2" fillId="4" borderId="11" xfId="10" applyNumberFormat="1" applyFill="1" applyBorder="1"/>
    <xf numFmtId="3" fontId="2" fillId="4" borderId="10" xfId="10" applyNumberFormat="1" applyFill="1" applyBorder="1"/>
    <xf numFmtId="3" fontId="2" fillId="4" borderId="0" xfId="10" applyNumberFormat="1" applyFill="1" applyBorder="1"/>
    <xf numFmtId="3" fontId="2" fillId="4" borderId="22" xfId="10" applyNumberFormat="1" applyFill="1" applyBorder="1"/>
    <xf numFmtId="3" fontId="2" fillId="4" borderId="23" xfId="10" applyNumberFormat="1" applyFill="1" applyBorder="1"/>
    <xf numFmtId="3" fontId="2" fillId="4" borderId="13" xfId="10" applyNumberFormat="1" applyFill="1" applyBorder="1"/>
    <xf numFmtId="3" fontId="2" fillId="4" borderId="15" xfId="10" applyNumberFormat="1" applyFill="1" applyBorder="1"/>
    <xf numFmtId="3" fontId="2" fillId="4" borderId="14" xfId="10" applyNumberFormat="1" applyFill="1" applyBorder="1"/>
    <xf numFmtId="3" fontId="2" fillId="4" borderId="5" xfId="10" applyNumberFormat="1" applyFill="1" applyBorder="1"/>
    <xf numFmtId="3" fontId="2" fillId="4" borderId="9" xfId="10" applyNumberFormat="1" applyFill="1" applyBorder="1"/>
    <xf numFmtId="3" fontId="2" fillId="4" borderId="6" xfId="10" applyNumberFormat="1" applyFill="1" applyBorder="1"/>
    <xf numFmtId="0" fontId="0" fillId="5" borderId="0" xfId="0" applyNumberFormat="1" applyFill="1" applyAlignment="1">
      <alignment horizontal="left"/>
    </xf>
    <xf numFmtId="165" fontId="0" fillId="6" borderId="9" xfId="0" applyFill="1" applyBorder="1"/>
    <xf numFmtId="0" fontId="0" fillId="6" borderId="9" xfId="0" applyNumberFormat="1" applyFill="1" applyBorder="1"/>
    <xf numFmtId="0" fontId="0" fillId="6" borderId="11" xfId="0" applyNumberFormat="1" applyFill="1" applyBorder="1"/>
    <xf numFmtId="170" fontId="0" fillId="6" borderId="11" xfId="1" applyNumberFormat="1" applyFont="1" applyFill="1" applyBorder="1"/>
    <xf numFmtId="0" fontId="0" fillId="0" borderId="15" xfId="0" applyNumberFormat="1" applyBorder="1"/>
    <xf numFmtId="170" fontId="0" fillId="0" borderId="15" xfId="1" applyNumberFormat="1" applyFont="1" applyBorder="1"/>
    <xf numFmtId="0" fontId="0" fillId="0" borderId="32" xfId="0" applyNumberFormat="1" applyBorder="1"/>
    <xf numFmtId="0" fontId="0" fillId="0" borderId="31" xfId="0" applyNumberFormat="1" applyBorder="1"/>
    <xf numFmtId="170" fontId="0" fillId="0" borderId="31" xfId="1" applyNumberFormat="1" applyFont="1" applyBorder="1"/>
    <xf numFmtId="170" fontId="0" fillId="0" borderId="33" xfId="1" applyNumberFormat="1" applyFont="1" applyBorder="1"/>
    <xf numFmtId="0" fontId="0" fillId="0" borderId="34" xfId="0" applyNumberFormat="1" applyBorder="1"/>
    <xf numFmtId="170" fontId="0" fillId="0" borderId="35" xfId="1" applyNumberFormat="1" applyFont="1" applyBorder="1"/>
    <xf numFmtId="0" fontId="0" fillId="0" borderId="36" xfId="0" applyNumberFormat="1" applyBorder="1"/>
    <xf numFmtId="0" fontId="0" fillId="0" borderId="18" xfId="0" applyNumberFormat="1" applyBorder="1"/>
    <xf numFmtId="170" fontId="0" fillId="0" borderId="18" xfId="1" applyNumberFormat="1" applyFont="1" applyBorder="1"/>
    <xf numFmtId="170" fontId="0" fillId="0" borderId="37" xfId="1" applyNumberFormat="1" applyFont="1" applyBorder="1"/>
    <xf numFmtId="0" fontId="0" fillId="0" borderId="22" xfId="0" applyNumberFormat="1" applyBorder="1"/>
    <xf numFmtId="170" fontId="0" fillId="0" borderId="22" xfId="1" applyNumberFormat="1" applyFont="1" applyBorder="1"/>
    <xf numFmtId="0" fontId="0" fillId="6" borderId="32" xfId="0" applyNumberFormat="1" applyFill="1" applyBorder="1"/>
    <xf numFmtId="0" fontId="0" fillId="6" borderId="31" xfId="0" applyNumberFormat="1" applyFill="1" applyBorder="1"/>
    <xf numFmtId="170" fontId="0" fillId="6" borderId="31" xfId="1" applyNumberFormat="1" applyFont="1" applyFill="1" applyBorder="1"/>
    <xf numFmtId="170" fontId="0" fillId="6" borderId="33" xfId="1" applyNumberFormat="1" applyFont="1" applyFill="1" applyBorder="1"/>
    <xf numFmtId="3" fontId="11" fillId="0" borderId="0" xfId="7" applyFont="1"/>
    <xf numFmtId="1" fontId="11" fillId="0" borderId="11" xfId="9" applyFont="1" applyFill="1" applyBorder="1">
      <alignment horizontal="right"/>
    </xf>
    <xf numFmtId="165" fontId="12" fillId="0" borderId="9" xfId="10" applyFont="1" applyBorder="1"/>
    <xf numFmtId="3" fontId="12" fillId="0" borderId="9" xfId="10" applyNumberFormat="1" applyFont="1" applyBorder="1"/>
    <xf numFmtId="3" fontId="13" fillId="0" borderId="9" xfId="12" applyNumberFormat="1" applyFont="1" applyBorder="1">
      <protection locked="0"/>
    </xf>
    <xf numFmtId="9" fontId="12" fillId="0" borderId="9" xfId="8" applyFont="1" applyBorder="1"/>
    <xf numFmtId="165" fontId="12" fillId="0" borderId="0" xfId="0" applyFont="1"/>
    <xf numFmtId="3" fontId="12" fillId="0" borderId="9" xfId="10" applyNumberFormat="1" applyFont="1" applyBorder="1" applyAlignment="1">
      <alignment horizontal="center"/>
    </xf>
    <xf numFmtId="169" fontId="12" fillId="0" borderId="9" xfId="10" applyNumberFormat="1" applyFont="1" applyBorder="1"/>
    <xf numFmtId="165" fontId="12" fillId="0" borderId="4" xfId="10" applyFont="1" applyBorder="1"/>
    <xf numFmtId="3" fontId="12" fillId="6" borderId="9" xfId="10" applyNumberFormat="1" applyFont="1" applyFill="1" applyBorder="1"/>
    <xf numFmtId="169" fontId="12" fillId="0" borderId="9" xfId="0" applyNumberFormat="1" applyFont="1" applyBorder="1" applyAlignment="1">
      <alignment horizontal="right"/>
    </xf>
    <xf numFmtId="165" fontId="12" fillId="0" borderId="4" xfId="10" applyFont="1" applyBorder="1" applyAlignment="1">
      <alignment wrapText="1"/>
    </xf>
    <xf numFmtId="3" fontId="12" fillId="0" borderId="9" xfId="10" applyNumberFormat="1" applyFont="1" applyBorder="1" applyAlignment="1">
      <alignment vertical="center"/>
    </xf>
    <xf numFmtId="4" fontId="12" fillId="0" borderId="9" xfId="10" applyNumberFormat="1" applyFont="1" applyBorder="1" applyAlignment="1">
      <alignment vertical="center"/>
    </xf>
    <xf numFmtId="169" fontId="12" fillId="0" borderId="9" xfId="8" applyNumberFormat="1" applyFont="1" applyBorder="1" applyAlignment="1">
      <alignment horizontal="right"/>
    </xf>
    <xf numFmtId="165" fontId="11" fillId="0" borderId="4" xfId="10" applyFont="1" applyBorder="1"/>
    <xf numFmtId="3" fontId="11" fillId="0" borderId="9" xfId="10" applyNumberFormat="1" applyFont="1" applyBorder="1"/>
    <xf numFmtId="169" fontId="12" fillId="0" borderId="9" xfId="10" applyNumberFormat="1" applyFont="1" applyBorder="1" applyAlignment="1">
      <alignment horizontal="center"/>
    </xf>
    <xf numFmtId="165" fontId="12" fillId="0" borderId="0" xfId="10" applyFont="1" applyBorder="1"/>
    <xf numFmtId="4" fontId="12" fillId="0" borderId="9" xfId="10" applyNumberFormat="1" applyFont="1" applyBorder="1" applyAlignment="1">
      <alignment horizontal="right"/>
    </xf>
    <xf numFmtId="165" fontId="12" fillId="0" borderId="9" xfId="0" applyFont="1" applyBorder="1" applyAlignment="1">
      <alignment horizontal="right"/>
    </xf>
    <xf numFmtId="165" fontId="12" fillId="8" borderId="9" xfId="10" applyFont="1" applyFill="1" applyBorder="1"/>
    <xf numFmtId="3" fontId="12" fillId="8" borderId="9" xfId="10" applyNumberFormat="1" applyFont="1" applyFill="1" applyBorder="1"/>
    <xf numFmtId="165" fontId="12" fillId="7" borderId="9" xfId="10" applyFont="1" applyFill="1" applyBorder="1"/>
    <xf numFmtId="3" fontId="12" fillId="7" borderId="9" xfId="10" applyNumberFormat="1" applyFont="1" applyFill="1" applyBorder="1"/>
    <xf numFmtId="165" fontId="12" fillId="5" borderId="9" xfId="10" applyFont="1" applyFill="1" applyBorder="1"/>
    <xf numFmtId="10" fontId="12" fillId="5" borderId="9" xfId="0" applyNumberFormat="1" applyFont="1" applyFill="1" applyBorder="1" applyAlignment="1">
      <alignment horizontal="right"/>
    </xf>
    <xf numFmtId="165" fontId="12" fillId="0" borderId="9" xfId="0" applyFont="1" applyBorder="1"/>
    <xf numFmtId="4" fontId="12" fillId="0" borderId="9" xfId="10" applyNumberFormat="1" applyFont="1" applyBorder="1"/>
    <xf numFmtId="3" fontId="12" fillId="2" borderId="9" xfId="10" applyNumberFormat="1" applyFont="1" applyFill="1" applyBorder="1" applyProtection="1">
      <protection locked="0"/>
    </xf>
    <xf numFmtId="165" fontId="12" fillId="9" borderId="9" xfId="10" applyFont="1" applyFill="1" applyBorder="1"/>
    <xf numFmtId="10" fontId="12" fillId="0" borderId="9" xfId="0" applyNumberFormat="1" applyFont="1" applyBorder="1" applyAlignment="1">
      <alignment horizontal="right"/>
    </xf>
    <xf numFmtId="2" fontId="12" fillId="0" borderId="9" xfId="0" applyNumberFormat="1" applyFont="1" applyBorder="1" applyAlignment="1">
      <alignment horizontal="right"/>
    </xf>
    <xf numFmtId="165" fontId="11" fillId="0" borderId="0" xfId="0" applyFont="1"/>
    <xf numFmtId="165" fontId="12" fillId="0" borderId="0" xfId="0" applyFont="1" applyAlignment="1">
      <alignment horizontal="center"/>
    </xf>
    <xf numFmtId="165" fontId="12" fillId="0" borderId="9" xfId="10" applyFont="1" applyBorder="1" applyAlignment="1">
      <alignment horizontal="center"/>
    </xf>
    <xf numFmtId="167" fontId="11" fillId="0" borderId="9" xfId="4" applyFont="1" applyBorder="1"/>
    <xf numFmtId="166" fontId="12" fillId="0" borderId="9" xfId="11" applyNumberFormat="1" applyFont="1" applyBorder="1" applyAlignment="1">
      <alignment horizontal="center"/>
    </xf>
    <xf numFmtId="4" fontId="11" fillId="0" borderId="9" xfId="4" applyNumberFormat="1" applyFont="1" applyBorder="1"/>
    <xf numFmtId="4" fontId="11" fillId="5" borderId="9" xfId="4" applyNumberFormat="1" applyFont="1" applyFill="1" applyBorder="1"/>
    <xf numFmtId="165" fontId="13" fillId="0" borderId="0" xfId="12" applyFont="1" applyBorder="1">
      <protection locked="0"/>
    </xf>
    <xf numFmtId="168" fontId="12" fillId="0" borderId="9" xfId="10" applyNumberFormat="1" applyFont="1" applyBorder="1" applyAlignment="1">
      <alignment horizontal="center"/>
    </xf>
    <xf numFmtId="165" fontId="12" fillId="0" borderId="0" xfId="0" quotePrefix="1" applyFont="1"/>
    <xf numFmtId="4" fontId="0" fillId="0" borderId="0" xfId="0" applyNumberFormat="1"/>
    <xf numFmtId="170" fontId="0" fillId="6" borderId="9" xfId="1" applyNumberFormat="1" applyFont="1" applyFill="1" applyBorder="1"/>
    <xf numFmtId="3" fontId="2" fillId="2" borderId="0" xfId="10" applyNumberFormat="1" applyFill="1" applyBorder="1" applyProtection="1">
      <protection locked="0"/>
    </xf>
    <xf numFmtId="170" fontId="0" fillId="0" borderId="0" xfId="1" applyNumberFormat="1" applyFont="1" applyBorder="1"/>
    <xf numFmtId="170" fontId="0" fillId="6" borderId="0" xfId="1" applyNumberFormat="1" applyFont="1" applyFill="1" applyBorder="1"/>
    <xf numFmtId="0" fontId="0" fillId="0" borderId="0" xfId="0" applyNumberFormat="1" applyAlignment="1">
      <alignment horizontal="center"/>
    </xf>
    <xf numFmtId="3" fontId="12" fillId="10" borderId="9" xfId="10" applyNumberFormat="1" applyFont="1" applyFill="1" applyBorder="1"/>
    <xf numFmtId="9" fontId="0" fillId="11" borderId="0" xfId="8" applyFont="1" applyFill="1"/>
    <xf numFmtId="1" fontId="11" fillId="0" borderId="0" xfId="9" applyFont="1" applyFill="1" applyBorder="1">
      <alignment horizontal="right"/>
    </xf>
    <xf numFmtId="3" fontId="12" fillId="0" borderId="0" xfId="10" applyNumberFormat="1" applyFont="1" applyBorder="1"/>
    <xf numFmtId="169" fontId="12" fillId="0" borderId="0" xfId="0" applyNumberFormat="1" applyFont="1" applyAlignment="1">
      <alignment horizontal="right"/>
    </xf>
    <xf numFmtId="3" fontId="12" fillId="0" borderId="0" xfId="10" applyNumberFormat="1" applyFont="1" applyBorder="1" applyAlignment="1">
      <alignment vertical="center"/>
    </xf>
    <xf numFmtId="4" fontId="12" fillId="0" borderId="0" xfId="10" applyNumberFormat="1" applyFont="1" applyBorder="1" applyAlignment="1">
      <alignment vertical="center"/>
    </xf>
    <xf numFmtId="169" fontId="12" fillId="0" borderId="0" xfId="8" applyNumberFormat="1" applyFont="1" applyBorder="1" applyAlignment="1">
      <alignment horizontal="right"/>
    </xf>
    <xf numFmtId="3" fontId="11" fillId="0" borderId="0" xfId="10" applyNumberFormat="1" applyFont="1" applyBorder="1"/>
    <xf numFmtId="169" fontId="12" fillId="0" borderId="0" xfId="10" applyNumberFormat="1" applyFont="1" applyBorder="1"/>
    <xf numFmtId="3" fontId="12" fillId="12" borderId="9" xfId="10" applyNumberFormat="1" applyFont="1" applyFill="1" applyBorder="1"/>
    <xf numFmtId="0" fontId="14" fillId="13" borderId="38" xfId="0" applyNumberFormat="1" applyFont="1" applyFill="1" applyBorder="1" applyAlignment="1">
      <alignment horizontal="left" vertical="top" wrapText="1"/>
    </xf>
    <xf numFmtId="0" fontId="14" fillId="14" borderId="38" xfId="0" applyNumberFormat="1" applyFont="1" applyFill="1" applyBorder="1" applyAlignment="1">
      <alignment horizontal="center" vertical="top" wrapText="1"/>
    </xf>
    <xf numFmtId="0" fontId="14" fillId="14" borderId="38" xfId="0" applyNumberFormat="1" applyFont="1" applyFill="1" applyBorder="1" applyAlignment="1">
      <alignment horizontal="left" vertical="top" wrapText="1"/>
    </xf>
    <xf numFmtId="0" fontId="14" fillId="14" borderId="38" xfId="0" applyNumberFormat="1" applyFont="1" applyFill="1" applyBorder="1" applyAlignment="1">
      <alignment horizontal="right" vertical="top" wrapText="1"/>
    </xf>
    <xf numFmtId="4" fontId="14" fillId="14" borderId="38" xfId="0" applyNumberFormat="1" applyFont="1" applyFill="1" applyBorder="1" applyAlignment="1">
      <alignment horizontal="right" vertical="top" wrapText="1"/>
    </xf>
    <xf numFmtId="0" fontId="14" fillId="15" borderId="38" xfId="0" applyNumberFormat="1" applyFont="1" applyFill="1" applyBorder="1" applyAlignment="1">
      <alignment horizontal="center" vertical="top" wrapText="1"/>
    </xf>
    <xf numFmtId="0" fontId="14" fillId="15" borderId="38" xfId="0" applyNumberFormat="1" applyFont="1" applyFill="1" applyBorder="1" applyAlignment="1">
      <alignment horizontal="left" vertical="top" wrapText="1"/>
    </xf>
    <xf numFmtId="0" fontId="14" fillId="15" borderId="38" xfId="0" applyNumberFormat="1" applyFont="1" applyFill="1" applyBorder="1" applyAlignment="1">
      <alignment horizontal="right" vertical="top" wrapText="1"/>
    </xf>
    <xf numFmtId="4" fontId="14" fillId="15" borderId="38" xfId="0" applyNumberFormat="1" applyFont="1" applyFill="1" applyBorder="1" applyAlignment="1">
      <alignment horizontal="right" vertical="top" wrapText="1"/>
    </xf>
    <xf numFmtId="170" fontId="0" fillId="0" borderId="0" xfId="1" applyNumberFormat="1" applyFont="1" applyFill="1" applyBorder="1"/>
    <xf numFmtId="4" fontId="11" fillId="16" borderId="9" xfId="4" applyNumberFormat="1" applyFont="1" applyFill="1" applyBorder="1"/>
    <xf numFmtId="4" fontId="11" fillId="11" borderId="9" xfId="4" applyNumberFormat="1" applyFont="1" applyFill="1" applyBorder="1"/>
    <xf numFmtId="3" fontId="11" fillId="17" borderId="9" xfId="10" applyNumberFormat="1" applyFont="1" applyFill="1" applyBorder="1"/>
    <xf numFmtId="9" fontId="4" fillId="0" borderId="0" xfId="8" applyFont="1" applyFill="1" applyBorder="1" applyAlignment="1">
      <alignment horizontal="right"/>
    </xf>
    <xf numFmtId="165" fontId="0" fillId="6" borderId="0" xfId="0" applyFill="1"/>
    <xf numFmtId="165" fontId="16" fillId="0" borderId="17" xfId="0" applyFont="1" applyBorder="1"/>
    <xf numFmtId="167" fontId="17" fillId="0" borderId="13" xfId="4" applyFont="1" applyBorder="1"/>
    <xf numFmtId="165" fontId="19" fillId="0" borderId="9" xfId="10" applyFont="1" applyBorder="1"/>
    <xf numFmtId="165" fontId="19" fillId="0" borderId="9" xfId="10" applyFont="1" applyBorder="1" applyAlignment="1">
      <alignment wrapText="1"/>
    </xf>
    <xf numFmtId="9" fontId="12" fillId="0" borderId="19" xfId="8" applyFont="1" applyFill="1" applyBorder="1"/>
    <xf numFmtId="165" fontId="2" fillId="0" borderId="9" xfId="10" applyBorder="1" applyAlignment="1">
      <alignment horizontal="center"/>
    </xf>
    <xf numFmtId="1" fontId="4" fillId="0" borderId="7" xfId="2" applyFont="1" applyBorder="1">
      <alignment horizontal="center"/>
    </xf>
    <xf numFmtId="1" fontId="4" fillId="0" borderId="10" xfId="2" applyFont="1" applyBorder="1">
      <alignment horizontal="center"/>
    </xf>
    <xf numFmtId="1" fontId="4" fillId="0" borderId="19" xfId="2" applyFont="1" applyBorder="1">
      <alignment horizontal="center"/>
    </xf>
    <xf numFmtId="1" fontId="4" fillId="0" borderId="23" xfId="2" applyFont="1" applyBorder="1">
      <alignment horizontal="center"/>
    </xf>
    <xf numFmtId="1" fontId="4" fillId="0" borderId="12" xfId="2" applyFont="1" applyBorder="1">
      <alignment horizontal="center"/>
    </xf>
    <xf numFmtId="1" fontId="4" fillId="0" borderId="14" xfId="2" applyFont="1" applyBorder="1">
      <alignment horizontal="center"/>
    </xf>
    <xf numFmtId="165" fontId="2" fillId="0" borderId="9" xfId="10" applyBorder="1"/>
    <xf numFmtId="165" fontId="0" fillId="0" borderId="9" xfId="0" applyBorder="1"/>
    <xf numFmtId="0" fontId="14" fillId="18" borderId="38" xfId="0" applyNumberFormat="1" applyFont="1" applyFill="1" applyBorder="1" applyAlignment="1">
      <alignment horizontal="left" vertical="top" wrapText="1"/>
    </xf>
    <xf numFmtId="0" fontId="0" fillId="6" borderId="0" xfId="0" applyNumberFormat="1" applyFill="1"/>
  </cellXfs>
  <cellStyles count="17">
    <cellStyle name="číslo řádku" xfId="2" xr:uid="{00000000-0005-0000-0000-000001000000}"/>
    <cellStyle name="Comma" xfId="1" builtinId="3"/>
    <cellStyle name="kod DPH" xfId="3" xr:uid="{00000000-0005-0000-0000-000002000000}"/>
    <cellStyle name="nadpis A" xfId="4" xr:uid="{00000000-0005-0000-0000-000003000000}"/>
    <cellStyle name="nadpis B" xfId="5" xr:uid="{00000000-0005-0000-0000-000004000000}"/>
    <cellStyle name="nadpis C" xfId="6" xr:uid="{00000000-0005-0000-0000-000005000000}"/>
    <cellStyle name="nadpis D" xfId="7" xr:uid="{00000000-0005-0000-0000-000006000000}"/>
    <cellStyle name="Normal" xfId="0" builtinId="0"/>
    <cellStyle name="Normal 2" xfId="16" xr:uid="{00000000-0005-0000-0000-000008000000}"/>
    <cellStyle name="Percent" xfId="8" builtinId="5"/>
    <cellStyle name="rok" xfId="9" xr:uid="{00000000-0005-0000-0000-00000A000000}"/>
    <cellStyle name="text" xfId="10" xr:uid="{00000000-0005-0000-0000-00000B000000}"/>
    <cellStyle name="volné pole" xfId="11" xr:uid="{00000000-0005-0000-0000-00000C000000}"/>
    <cellStyle name="vstupní pole" xfId="12" xr:uid="{00000000-0005-0000-0000-00000D000000}"/>
    <cellStyle name="vstupní pole _" xfId="13" xr:uid="{00000000-0005-0000-0000-00000E000000}"/>
    <cellStyle name="vstupní pole 2" xfId="14" xr:uid="{00000000-0005-0000-0000-00000F000000}"/>
    <cellStyle name="výkazy 1" xfId="15" xr:uid="{00000000-0005-0000-0000-000010000000}"/>
  </cellStyles>
  <dxfs count="1"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748415307791233E-2"/>
          <c:y val="0.12690355329949241"/>
          <c:w val="0.55132494900932949"/>
          <c:h val="0.66497461928934276"/>
        </c:manualLayout>
      </c:layout>
      <c:lineChart>
        <c:grouping val="standard"/>
        <c:varyColors val="0"/>
        <c:ser>
          <c:idx val="0"/>
          <c:order val="0"/>
          <c:tx>
            <c:strRef>
              <c:f>Trendy!$C$49</c:f>
              <c:strCache>
                <c:ptCount val="1"/>
                <c:pt idx="0">
                  <c:v>Celkové tržby z produkce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Trendy!$E$48:$U$48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Trendy!$E$49:$U$49</c:f>
              <c:numCache>
                <c:formatCode>0.0%</c:formatCode>
                <c:ptCount val="12"/>
                <c:pt idx="0">
                  <c:v>3.8930174382099825</c:v>
                </c:pt>
                <c:pt idx="1">
                  <c:v>4.0974220412097369</c:v>
                </c:pt>
                <c:pt idx="2">
                  <c:v>4.3573247791492493</c:v>
                </c:pt>
                <c:pt idx="3">
                  <c:v>3.9941789822473566</c:v>
                </c:pt>
                <c:pt idx="4">
                  <c:v>3.9642391490533564</c:v>
                </c:pt>
                <c:pt idx="5">
                  <c:v>3.7951713054339811</c:v>
                </c:pt>
                <c:pt idx="6">
                  <c:v>3.8350382391935089</c:v>
                </c:pt>
                <c:pt idx="7">
                  <c:v>2.6606700946151953</c:v>
                </c:pt>
                <c:pt idx="8">
                  <c:v>2.8976017689697566</c:v>
                </c:pt>
                <c:pt idx="9">
                  <c:v>2.9304533321858863</c:v>
                </c:pt>
                <c:pt idx="10">
                  <c:v>2.8162845769363165</c:v>
                </c:pt>
                <c:pt idx="11">
                  <c:v>2.0538476499631177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03-42E5-925E-F1139E6FA02B}"/>
            </c:ext>
          </c:extLst>
        </c:ser>
        <c:ser>
          <c:idx val="1"/>
          <c:order val="1"/>
          <c:tx>
            <c:strRef>
              <c:f>Trendy!$C$50</c:f>
              <c:strCache>
                <c:ptCount val="1"/>
                <c:pt idx="0">
                  <c:v>Přidaná hodnota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Trendy!$E$48:$U$48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Trendy!$E$50:$U$50</c:f>
              <c:numCache>
                <c:formatCode>0.0%</c:formatCode>
                <c:ptCount val="12"/>
                <c:pt idx="0">
                  <c:v>6.583989583984982</c:v>
                </c:pt>
                <c:pt idx="1">
                  <c:v>7.9047917935564618</c:v>
                </c:pt>
                <c:pt idx="2">
                  <c:v>9.8542711129183562</c:v>
                </c:pt>
                <c:pt idx="3">
                  <c:v>11.005527179856113</c:v>
                </c:pt>
                <c:pt idx="4">
                  <c:v>10.312061918673756</c:v>
                </c:pt>
                <c:pt idx="5">
                  <c:v>10.875153991867373</c:v>
                </c:pt>
                <c:pt idx="6">
                  <c:v>10.981091263684707</c:v>
                </c:pt>
                <c:pt idx="7">
                  <c:v>7.5592719630903957</c:v>
                </c:pt>
                <c:pt idx="8">
                  <c:v>8.256056196434157</c:v>
                </c:pt>
                <c:pt idx="9">
                  <c:v>7.9852534100719419</c:v>
                </c:pt>
                <c:pt idx="10">
                  <c:v>8.6443736115107921</c:v>
                </c:pt>
                <c:pt idx="11">
                  <c:v>6.1051893456365338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03-42E5-925E-F1139E6FA02B}"/>
            </c:ext>
          </c:extLst>
        </c:ser>
        <c:ser>
          <c:idx val="2"/>
          <c:order val="2"/>
          <c:tx>
            <c:strRef>
              <c:f>Trendy!$C$51</c:f>
              <c:strCache>
                <c:ptCount val="1"/>
                <c:pt idx="0">
                  <c:v>Provozní výsledek hospodaření</c:v>
                </c:pt>
              </c:strCache>
            </c:strRef>
          </c:tx>
          <c:spPr>
            <a:ln w="254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numRef>
              <c:f>Trendy!$E$48:$U$48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Trendy!$E$51:$U$51</c:f>
              <c:numCache>
                <c:formatCode>0.0%</c:formatCode>
                <c:ptCount val="12"/>
                <c:pt idx="0">
                  <c:v>33.389647517006708</c:v>
                </c:pt>
                <c:pt idx="1">
                  <c:v>43.658145153061291</c:v>
                </c:pt>
                <c:pt idx="2">
                  <c:v>61.19121401360534</c:v>
                </c:pt>
                <c:pt idx="3">
                  <c:v>25.666436190476091</c:v>
                </c:pt>
                <c:pt idx="4">
                  <c:v>12.859458367346919</c:v>
                </c:pt>
                <c:pt idx="5">
                  <c:v>31.151459098639418</c:v>
                </c:pt>
                <c:pt idx="6">
                  <c:v>38.361834659864066</c:v>
                </c:pt>
                <c:pt idx="7">
                  <c:v>-1.9700676020408674</c:v>
                </c:pt>
                <c:pt idx="8">
                  <c:v>8.5626921768717459E-2</c:v>
                </c:pt>
                <c:pt idx="9">
                  <c:v>2.2096747448979355</c:v>
                </c:pt>
                <c:pt idx="10">
                  <c:v>8.2285745238095274</c:v>
                </c:pt>
                <c:pt idx="11">
                  <c:v>29.031015255102005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03-42E5-925E-F1139E6FA02B}"/>
            </c:ext>
          </c:extLst>
        </c:ser>
        <c:ser>
          <c:idx val="3"/>
          <c:order val="3"/>
          <c:tx>
            <c:strRef>
              <c:f>Trendy!$C$52</c:f>
              <c:strCache>
                <c:ptCount val="1"/>
                <c:pt idx="0">
                  <c:v>Výsledek hospodaření po zdanění</c:v>
                </c:pt>
              </c:strCache>
            </c:strRef>
          </c:tx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Trendy!$E$48:$U$48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Trendy!$E$52:$U$52</c:f>
              <c:numCache>
                <c:formatCode>0.0%</c:formatCode>
                <c:ptCount val="12"/>
                <c:pt idx="0">
                  <c:v>196.58920055555492</c:v>
                </c:pt>
                <c:pt idx="1">
                  <c:v>223.77473477777821</c:v>
                </c:pt>
                <c:pt idx="2">
                  <c:v>305.1582774444438</c:v>
                </c:pt>
                <c:pt idx="3">
                  <c:v>125.33049988888826</c:v>
                </c:pt>
                <c:pt idx="4">
                  <c:v>56.958612999999865</c:v>
                </c:pt>
                <c:pt idx="5">
                  <c:v>158.22699177777747</c:v>
                </c:pt>
                <c:pt idx="6">
                  <c:v>186.89601444444526</c:v>
                </c:pt>
                <c:pt idx="7">
                  <c:v>9.2699324444441125</c:v>
                </c:pt>
                <c:pt idx="8">
                  <c:v>0.35668411111117976</c:v>
                </c:pt>
                <c:pt idx="9">
                  <c:v>2.1663925555554093</c:v>
                </c:pt>
                <c:pt idx="10">
                  <c:v>51.560455111111132</c:v>
                </c:pt>
                <c:pt idx="11">
                  <c:v>187.9680721111109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03-42E5-925E-F1139E6FA0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087552"/>
        <c:axId val="150089088"/>
      </c:lineChart>
      <c:catAx>
        <c:axId val="15008755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50089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00890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500875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5728528966991762"/>
          <c:y val="0.26395939086294501"/>
          <c:w val="0.32947054631416262"/>
          <c:h val="0.39086294416243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1" l="0.75000000000000155" r="0.75000000000000155" t="1" header="0.49212598450000072" footer="0.4921259845000007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32890365448505"/>
          <c:y val="0.15260244147333973"/>
          <c:w val="0.88199005753420079"/>
          <c:h val="0.737751942081065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'Doplňkové ukazatele'!$B$61</c:f>
              <c:strCache>
                <c:ptCount val="1"/>
                <c:pt idx="0">
                  <c:v>Produktivita práce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'Doplňkové ukazatele'!$D$60:$T$60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'Doplňkové ukazatele'!$D$61:$T$61</c:f>
              <c:numCache>
                <c:formatCode>#,##0.0</c:formatCode>
                <c:ptCount val="12"/>
                <c:pt idx="0">
                  <c:v>3192.1173228225803</c:v>
                </c:pt>
                <c:pt idx="1">
                  <c:v>3180.1937865648856</c:v>
                </c:pt>
                <c:pt idx="2">
                  <c:v>3356.295431212121</c:v>
                </c:pt>
                <c:pt idx="3">
                  <c:v>3531.3752001739126</c:v>
                </c:pt>
                <c:pt idx="4">
                  <c:v>3697.8350044036697</c:v>
                </c:pt>
                <c:pt idx="5">
                  <c:v>3137.1873372357722</c:v>
                </c:pt>
                <c:pt idx="6">
                  <c:v>3304.4704488983052</c:v>
                </c:pt>
                <c:pt idx="7">
                  <c:v>2481.8681822935778</c:v>
                </c:pt>
                <c:pt idx="8">
                  <c:v>2678.3059987272727</c:v>
                </c:pt>
                <c:pt idx="9">
                  <c:v>2784.6153509345795</c:v>
                </c:pt>
                <c:pt idx="10">
                  <c:v>2863.4573436000001</c:v>
                </c:pt>
                <c:pt idx="11">
                  <c:v>2269.8365196739132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2-438C-B2E9-070A5706C9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4910080"/>
        <c:axId val="153760896"/>
      </c:barChart>
      <c:catAx>
        <c:axId val="15491008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s-CZ"/>
          </a:p>
        </c:txPr>
        <c:crossAx val="1537608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760896"/>
        <c:scaling>
          <c:orientation val="minMax"/>
        </c:scaling>
        <c:delete val="0"/>
        <c:axPos val="l"/>
        <c:majorGridlines/>
        <c:numFmt formatCode="#,##0.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s-CZ"/>
          </a:p>
        </c:txPr>
        <c:crossAx val="154910080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 alignWithMargins="0"/>
    <c:pageMargins b="1" l="0.75000000000000155" r="0.75000000000000155" t="1" header="0.49212598450000072" footer="0.4921259845000007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445182724252275E-2"/>
          <c:y val="0.17299622357331948"/>
          <c:w val="0.92090547299911274"/>
          <c:h val="0.70464445108918605"/>
        </c:manualLayout>
      </c:layout>
      <c:lineChart>
        <c:grouping val="standard"/>
        <c:varyColors val="0"/>
        <c:ser>
          <c:idx val="0"/>
          <c:order val="0"/>
          <c:tx>
            <c:strRef>
              <c:f>'Doplňkové ukazatele'!$B$40</c:f>
              <c:strCache>
                <c:ptCount val="1"/>
                <c:pt idx="0">
                  <c:v>Míra zadluženosti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'Doplňkové ukazatele'!$C$39:$T$39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'Doplňkové ukazatele'!$C$40:$T$40</c:f>
              <c:numCache>
                <c:formatCode>0.00</c:formatCode>
                <c:ptCount val="12"/>
                <c:pt idx="0">
                  <c:v>1.1865638935870104</c:v>
                </c:pt>
                <c:pt idx="1">
                  <c:v>0.90373828525254829</c:v>
                </c:pt>
                <c:pt idx="2">
                  <c:v>0.93768632386335338</c:v>
                </c:pt>
                <c:pt idx="3">
                  <c:v>1.065618080016183</c:v>
                </c:pt>
                <c:pt idx="4">
                  <c:v>1.0119829516696759</c:v>
                </c:pt>
                <c:pt idx="5">
                  <c:v>0.68836393503475868</c:v>
                </c:pt>
                <c:pt idx="6">
                  <c:v>0.38316484658157135</c:v>
                </c:pt>
                <c:pt idx="7">
                  <c:v>0.23635008438400551</c:v>
                </c:pt>
                <c:pt idx="8">
                  <c:v>1.1009891288749527</c:v>
                </c:pt>
                <c:pt idx="9">
                  <c:v>1.042215676716872</c:v>
                </c:pt>
                <c:pt idx="10">
                  <c:v>0.72987969635978645</c:v>
                </c:pt>
                <c:pt idx="11">
                  <c:v>0.50779509393430011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0F-4D0F-A673-7B18BBA22B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776896"/>
        <c:axId val="153778432"/>
      </c:lineChart>
      <c:catAx>
        <c:axId val="15377689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s-CZ"/>
          </a:p>
        </c:txPr>
        <c:crossAx val="1537784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778432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s-CZ"/>
          </a:p>
        </c:txPr>
        <c:crossAx val="153776896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 alignWithMargins="0"/>
    <c:pageMargins b="1" l="0.75000000000000178" r="0.75000000000000178" t="1" header="0.49212598450000083" footer="0.4921259845000008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409389840832953E-2"/>
          <c:y val="4.8323345158913872E-2"/>
          <c:w val="0.87673297728882038"/>
          <c:h val="0.751161549795446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'Cash flow'!$B$12</c:f>
              <c:strCache>
                <c:ptCount val="1"/>
                <c:pt idx="0">
                  <c:v>Rentabilita tržeb z cash flow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'Cash flow'!$C$11:$S$11</c:f>
              <c:numCache>
                <c:formatCode>0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'Cash flow'!$C$12:$S$12</c:f>
              <c:numCache>
                <c:formatCode>0.0%</c:formatCode>
                <c:ptCount val="13"/>
                <c:pt idx="0">
                  <c:v>0.1186407698839267</c:v>
                </c:pt>
                <c:pt idx="1">
                  <c:v>0.16016401891585774</c:v>
                </c:pt>
                <c:pt idx="2">
                  <c:v>0.20105350045080286</c:v>
                </c:pt>
                <c:pt idx="3">
                  <c:v>0.17710471717663659</c:v>
                </c:pt>
                <c:pt idx="4">
                  <c:v>0.25427450932335016</c:v>
                </c:pt>
                <c:pt idx="5">
                  <c:v>0.35402441939667639</c:v>
                </c:pt>
                <c:pt idx="6">
                  <c:v>8.9338449325175179E-2</c:v>
                </c:pt>
                <c:pt idx="7">
                  <c:v>0.20300458440871846</c:v>
                </c:pt>
                <c:pt idx="8">
                  <c:v>0.11718009964923655</c:v>
                </c:pt>
                <c:pt idx="9">
                  <c:v>0.64162914353607392</c:v>
                </c:pt>
                <c:pt idx="10">
                  <c:v>2.2799018706597268E-2</c:v>
                </c:pt>
                <c:pt idx="11">
                  <c:v>7.5682508274260873E-2</c:v>
                </c:pt>
                <c:pt idx="12">
                  <c:v>8.1278956238961947E-2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A5-4373-93CB-D4C82D44BE32}"/>
            </c:ext>
          </c:extLst>
        </c:ser>
        <c:ser>
          <c:idx val="1"/>
          <c:order val="1"/>
          <c:tx>
            <c:strRef>
              <c:f>'Cash flow'!$B$13</c:f>
              <c:strCache>
                <c:ptCount val="1"/>
                <c:pt idx="0">
                  <c:v>Rentabilita celkového kapitálu z cash flow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'Cash flow'!$C$11:$S$11</c:f>
              <c:numCache>
                <c:formatCode>0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'Cash flow'!$C$13:$S$13</c:f>
              <c:numCache>
                <c:formatCode>0.0%</c:formatCode>
                <c:ptCount val="13"/>
                <c:pt idx="0">
                  <c:v>0.30173711501785094</c:v>
                </c:pt>
                <c:pt idx="1">
                  <c:v>0.34859751917690956</c:v>
                </c:pt>
                <c:pt idx="2">
                  <c:v>0.42579998785056405</c:v>
                </c:pt>
                <c:pt idx="3">
                  <c:v>0.29607010011869134</c:v>
                </c:pt>
                <c:pt idx="4">
                  <c:v>0.33763038820181179</c:v>
                </c:pt>
                <c:pt idx="5">
                  <c:v>0.50880938869547698</c:v>
                </c:pt>
                <c:pt idx="6">
                  <c:v>0.13032718307625785</c:v>
                </c:pt>
                <c:pt idx="7">
                  <c:v>0.36847621116791607</c:v>
                </c:pt>
                <c:pt idx="8">
                  <c:v>0.16879277967413173</c:v>
                </c:pt>
                <c:pt idx="9">
                  <c:v>0.59352283902420377</c:v>
                </c:pt>
                <c:pt idx="10">
                  <c:v>2.189404913313861E-2</c:v>
                </c:pt>
                <c:pt idx="11">
                  <c:v>8.3599623436824047E-2</c:v>
                </c:pt>
                <c:pt idx="12">
                  <c:v>7.3061488644764125E-2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A5-4373-93CB-D4C82D44BE32}"/>
            </c:ext>
          </c:extLst>
        </c:ser>
        <c:ser>
          <c:idx val="2"/>
          <c:order val="2"/>
          <c:tx>
            <c:strRef>
              <c:f>'Cash flow'!$B$14</c:f>
              <c:strCache>
                <c:ptCount val="1"/>
                <c:pt idx="0">
                  <c:v>Rentabilita vlastního kapitálu z cash flow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'Cash flow'!$C$11:$S$11</c:f>
              <c:numCache>
                <c:formatCode>0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'Cash flow'!$C$14:$S$14</c:f>
              <c:numCache>
                <c:formatCode>0.0%</c:formatCode>
                <c:ptCount val="13"/>
                <c:pt idx="0">
                  <c:v>1.0478157919645259</c:v>
                </c:pt>
                <c:pt idx="1">
                  <c:v>0.75528069119945873</c:v>
                </c:pt>
                <c:pt idx="2">
                  <c:v>0.80628667934306764</c:v>
                </c:pt>
                <c:pt idx="3">
                  <c:v>0.5682231174698541</c:v>
                </c:pt>
                <c:pt idx="4">
                  <c:v>0.69184330263594151</c:v>
                </c:pt>
                <c:pt idx="5">
                  <c:v>1.0205805767350666</c:v>
                </c:pt>
                <c:pt idx="6">
                  <c:v>0.22175597173086387</c:v>
                </c:pt>
                <c:pt idx="7">
                  <c:v>0.50802933066616573</c:v>
                </c:pt>
                <c:pt idx="8">
                  <c:v>0.2085898874229363</c:v>
                </c:pt>
                <c:pt idx="9">
                  <c:v>1.2491095861119057</c:v>
                </c:pt>
                <c:pt idx="10">
                  <c:v>3.5785015789732762E-2</c:v>
                </c:pt>
                <c:pt idx="11">
                  <c:v>0.13909087835091086</c:v>
                </c:pt>
                <c:pt idx="12">
                  <c:v>0.10602709494081952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A5-4373-93CB-D4C82D44BE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5087616"/>
        <c:axId val="155089152"/>
      </c:barChart>
      <c:catAx>
        <c:axId val="15508761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s-CZ"/>
          </a:p>
        </c:txPr>
        <c:crossAx val="1550891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5089152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s-CZ"/>
          </a:p>
        </c:txPr>
        <c:crossAx val="15508761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155" r="0.75000000000000155" t="1" header="0.49212598450000072" footer="0.49212598450000072"/>
    <c:pageSetup paperSize="9" orientation="landscape" horizontalDpi="300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39669421487604"/>
          <c:y val="8.8339375033429604E-2"/>
          <c:w val="0.84132231404958835"/>
          <c:h val="0.6007077502273187"/>
        </c:manualLayout>
      </c:layout>
      <c:areaChart>
        <c:grouping val="standard"/>
        <c:varyColors val="0"/>
        <c:ser>
          <c:idx val="0"/>
          <c:order val="0"/>
          <c:tx>
            <c:strRef>
              <c:f>'Cash flow'!$B$34</c:f>
              <c:strCache>
                <c:ptCount val="1"/>
                <c:pt idx="0">
                  <c:v>Čistý peněžní tok z provozní činnosti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'Cash flow'!$C$33:$S$33</c:f>
              <c:numCache>
                <c:formatCode>0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'Cash flow'!$C$34:$S$34</c:f>
              <c:numCache>
                <c:formatCode>#,##0</c:formatCode>
                <c:ptCount val="13"/>
                <c:pt idx="0">
                  <c:v>41852.151499999949</c:v>
                </c:pt>
                <c:pt idx="1">
                  <c:v>63396.530069999921</c:v>
                </c:pt>
                <c:pt idx="2">
                  <c:v>83759.971170000048</c:v>
                </c:pt>
                <c:pt idx="3">
                  <c:v>78462.87940999995</c:v>
                </c:pt>
                <c:pt idx="4">
                  <c:v>103262.95006999995</c:v>
                </c:pt>
                <c:pt idx="5">
                  <c:v>142694.50405999998</c:v>
                </c:pt>
                <c:pt idx="6">
                  <c:v>34473.388589999973</c:v>
                </c:pt>
                <c:pt idx="7">
                  <c:v>79157.07272000004</c:v>
                </c:pt>
                <c:pt idx="8">
                  <c:v>31699.986139999983</c:v>
                </c:pt>
                <c:pt idx="9">
                  <c:v>189032.71025</c:v>
                </c:pt>
                <c:pt idx="10">
                  <c:v>6793.0552299999872</c:v>
                </c:pt>
                <c:pt idx="11">
                  <c:v>21671.363410000005</c:v>
                </c:pt>
                <c:pt idx="12">
                  <c:v>16973.074769999977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64-4B79-9CAE-A9B600DD4421}"/>
            </c:ext>
          </c:extLst>
        </c:ser>
        <c:ser>
          <c:idx val="1"/>
          <c:order val="1"/>
          <c:tx>
            <c:strRef>
              <c:f>'Cash flow'!$B$35</c:f>
              <c:strCache>
                <c:ptCount val="1"/>
                <c:pt idx="0">
                  <c:v>Čistý peněžní tok z investiční činnosti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'Cash flow'!$C$33:$S$33</c:f>
              <c:numCache>
                <c:formatCode>0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'Cash flow'!$C$35:$S$35</c:f>
              <c:numCache>
                <c:formatCode>#,##0</c:formatCode>
                <c:ptCount val="13"/>
                <c:pt idx="0">
                  <c:v>-59962.080280000002</c:v>
                </c:pt>
                <c:pt idx="1">
                  <c:v>-72786.108330000003</c:v>
                </c:pt>
                <c:pt idx="2">
                  <c:v>-72938.285349999991</c:v>
                </c:pt>
                <c:pt idx="3">
                  <c:v>-120465.86315999998</c:v>
                </c:pt>
                <c:pt idx="4">
                  <c:v>-142810.09508000006</c:v>
                </c:pt>
                <c:pt idx="5">
                  <c:v>-40023.946919999988</c:v>
                </c:pt>
                <c:pt idx="6">
                  <c:v>-51568.136210000011</c:v>
                </c:pt>
                <c:pt idx="7">
                  <c:v>-43600.757589999987</c:v>
                </c:pt>
                <c:pt idx="8">
                  <c:v>-23996.795820000003</c:v>
                </c:pt>
                <c:pt idx="9">
                  <c:v>-181027.21451000002</c:v>
                </c:pt>
                <c:pt idx="10">
                  <c:v>-15288.286679999985</c:v>
                </c:pt>
                <c:pt idx="11">
                  <c:v>-3583.1427199999994</c:v>
                </c:pt>
                <c:pt idx="12">
                  <c:v>-15256.813610000019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64-4B79-9CAE-A9B600DD4421}"/>
            </c:ext>
          </c:extLst>
        </c:ser>
        <c:ser>
          <c:idx val="2"/>
          <c:order val="2"/>
          <c:tx>
            <c:strRef>
              <c:f>'Cash flow'!$B$36</c:f>
              <c:strCache>
                <c:ptCount val="1"/>
                <c:pt idx="0">
                  <c:v>Čistý peněžní tok z finanční činnosti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'Cash flow'!$C$33:$S$33</c:f>
              <c:numCache>
                <c:formatCode>0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'Cash flow'!$C$36:$S$36</c:f>
              <c:numCache>
                <c:formatCode>#,##0</c:formatCode>
                <c:ptCount val="13"/>
                <c:pt idx="0">
                  <c:v>29348.498009999999</c:v>
                </c:pt>
                <c:pt idx="1">
                  <c:v>2596.638289999999</c:v>
                </c:pt>
                <c:pt idx="2">
                  <c:v>-7736.6702700000005</c:v>
                </c:pt>
                <c:pt idx="3">
                  <c:v>42638.737959999999</c:v>
                </c:pt>
                <c:pt idx="4">
                  <c:v>42122.99742</c:v>
                </c:pt>
                <c:pt idx="5">
                  <c:v>-53363.843010000004</c:v>
                </c:pt>
                <c:pt idx="6">
                  <c:v>-23965.481370000001</c:v>
                </c:pt>
                <c:pt idx="7">
                  <c:v>-21241.84446</c:v>
                </c:pt>
                <c:pt idx="8">
                  <c:v>-10762.22134</c:v>
                </c:pt>
                <c:pt idx="9">
                  <c:v>-5270.01883</c:v>
                </c:pt>
                <c:pt idx="10">
                  <c:v>7976.9820399999999</c:v>
                </c:pt>
                <c:pt idx="11">
                  <c:v>-2231.2765099999997</c:v>
                </c:pt>
                <c:pt idx="12">
                  <c:v>-2280.8939500000001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64-4B79-9CAE-A9B600DD4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114496"/>
        <c:axId val="154936064"/>
      </c:areaChart>
      <c:catAx>
        <c:axId val="15511449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549360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49360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5511449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7190082644628099"/>
          <c:y val="0.8233230386837701"/>
          <c:w val="0.72066115702479516"/>
          <c:h val="0.1519438338758899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5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1" l="0.75000000000000155" r="0.75000000000000155" t="1" header="0.49212598450000072" footer="0.4921259845000007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040842807563665E-2"/>
          <c:y val="8.2508516748261998E-2"/>
          <c:w val="0.71615065201131578"/>
          <c:h val="0.78218073877352379"/>
        </c:manualLayout>
      </c:layout>
      <c:lineChart>
        <c:grouping val="standard"/>
        <c:varyColors val="0"/>
        <c:ser>
          <c:idx val="0"/>
          <c:order val="0"/>
          <c:tx>
            <c:strRef>
              <c:f>Indexy!$B$42:$C$42</c:f>
              <c:strCache>
                <c:ptCount val="2"/>
                <c:pt idx="0">
                  <c:v>Index bonity</c:v>
                </c:pt>
              </c:strCache>
            </c:strRef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none"/>
          </c:marker>
          <c:cat>
            <c:numRef>
              <c:f>Indexy!$F$41:$U$41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Indexy!$F$42:$U$42</c:f>
              <c:numCache>
                <c:formatCode>#,##0.00</c:formatCode>
                <c:ptCount val="12"/>
                <c:pt idx="0">
                  <c:v>1.998413556821653</c:v>
                </c:pt>
                <c:pt idx="1">
                  <c:v>2.1611779732218368</c:v>
                </c:pt>
                <c:pt idx="2">
                  <c:v>2.1586294350478634</c:v>
                </c:pt>
                <c:pt idx="3">
                  <c:v>1.0735980687366038</c:v>
                </c:pt>
                <c:pt idx="4">
                  <c:v>1.3051466522286272</c:v>
                </c:pt>
                <c:pt idx="5">
                  <c:v>1.0207173820807343</c:v>
                </c:pt>
                <c:pt idx="6">
                  <c:v>2.7375743141678344</c:v>
                </c:pt>
                <c:pt idx="7">
                  <c:v>1.9927979925453316</c:v>
                </c:pt>
                <c:pt idx="8">
                  <c:v>0.53272083065024456</c:v>
                </c:pt>
                <c:pt idx="9">
                  <c:v>0.54540570328805915</c:v>
                </c:pt>
                <c:pt idx="10">
                  <c:v>1.2044091491486595</c:v>
                </c:pt>
                <c:pt idx="11">
                  <c:v>2.0972513426167874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78-4530-B84A-96EB1F83B543}"/>
            </c:ext>
          </c:extLst>
        </c:ser>
        <c:ser>
          <c:idx val="1"/>
          <c:order val="1"/>
          <c:tx>
            <c:strRef>
              <c:f>Indexy!$B$43:$C$43</c:f>
              <c:strCache>
                <c:ptCount val="2"/>
                <c:pt idx="0">
                  <c:v>Altmanův index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numRef>
              <c:f>Indexy!$F$41:$U$41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Indexy!$F$43:$U$43</c:f>
              <c:numCache>
                <c:formatCode>#,##0.00</c:formatCode>
                <c:ptCount val="12"/>
                <c:pt idx="0">
                  <c:v>4.8081840083220566</c:v>
                </c:pt>
                <c:pt idx="1">
                  <c:v>5.2782616534472115</c:v>
                </c:pt>
                <c:pt idx="2">
                  <c:v>4.9334994568414157</c:v>
                </c:pt>
                <c:pt idx="3">
                  <c:v>4.0429695351184405</c:v>
                </c:pt>
                <c:pt idx="4">
                  <c:v>4.2767842526300699</c:v>
                </c:pt>
                <c:pt idx="5">
                  <c:v>5.3862961306269614</c:v>
                </c:pt>
                <c:pt idx="6">
                  <c:v>7.8516359469299086</c:v>
                </c:pt>
                <c:pt idx="7">
                  <c:v>7.1428417370370267</c:v>
                </c:pt>
                <c:pt idx="8">
                  <c:v>2.6602171685566289</c:v>
                </c:pt>
                <c:pt idx="9">
                  <c:v>2.6665043840719171</c:v>
                </c:pt>
                <c:pt idx="10">
                  <c:v>4.0053999788693844</c:v>
                </c:pt>
                <c:pt idx="11">
                  <c:v>3.5228293141565743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78-4530-B84A-96EB1F83B543}"/>
            </c:ext>
          </c:extLst>
        </c:ser>
        <c:ser>
          <c:idx val="2"/>
          <c:order val="2"/>
          <c:tx>
            <c:strRef>
              <c:f>Indexy!$B$44:$C$44</c:f>
              <c:strCache>
                <c:ptCount val="2"/>
                <c:pt idx="0">
                  <c:v>Index IN95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none"/>
          </c:marker>
          <c:cat>
            <c:numRef>
              <c:f>Indexy!$F$41:$U$41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Indexy!$F$44:$U$44</c:f>
              <c:numCache>
                <c:formatCode>#,##0.00</c:formatCode>
                <c:ptCount val="12"/>
                <c:pt idx="0">
                  <c:v>5.9009106829109239</c:v>
                </c:pt>
                <c:pt idx="1">
                  <c:v>7.6768104989999202</c:v>
                </c:pt>
                <c:pt idx="2">
                  <c:v>6.5709560085978644</c:v>
                </c:pt>
                <c:pt idx="3">
                  <c:v>3.1847868208924757</c:v>
                </c:pt>
                <c:pt idx="4">
                  <c:v>2.4774035848662641</c:v>
                </c:pt>
                <c:pt idx="5">
                  <c:v>5.9157917519830665</c:v>
                </c:pt>
                <c:pt idx="6">
                  <c:v>8.4344963169713143</c:v>
                </c:pt>
                <c:pt idx="7">
                  <c:v>2.9363678796282313</c:v>
                </c:pt>
                <c:pt idx="8">
                  <c:v>1.2605998547397927</c:v>
                </c:pt>
                <c:pt idx="9">
                  <c:v>1.2817355841966027</c:v>
                </c:pt>
                <c:pt idx="10">
                  <c:v>2.3150776966545799</c:v>
                </c:pt>
                <c:pt idx="11">
                  <c:v>4.7589146608466066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78-4530-B84A-96EB1F83B543}"/>
            </c:ext>
          </c:extLst>
        </c:ser>
        <c:ser>
          <c:idx val="3"/>
          <c:order val="3"/>
          <c:tx>
            <c:strRef>
              <c:f>Indexy!$B$45:$C$45</c:f>
              <c:strCache>
                <c:ptCount val="2"/>
                <c:pt idx="0">
                  <c:v>Index IN</c:v>
                </c:pt>
              </c:strCache>
            </c:strRef>
          </c:tx>
          <c:spPr>
            <a:ln w="25400">
              <a:solidFill>
                <a:srgbClr val="333333"/>
              </a:solidFill>
              <a:prstDash val="solid"/>
            </a:ln>
          </c:spPr>
          <c:marker>
            <c:symbol val="none"/>
          </c:marker>
          <c:cat>
            <c:numRef>
              <c:f>Indexy!$F$41:$U$41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Indexy!$F$45:$U$45</c:f>
              <c:numCache>
                <c:formatCode>#,##0.00</c:formatCode>
                <c:ptCount val="12"/>
                <c:pt idx="0">
                  <c:v>1.5941506128137468</c:v>
                </c:pt>
                <c:pt idx="1">
                  <c:v>1.5862514818128286</c:v>
                </c:pt>
                <c:pt idx="2">
                  <c:v>1.3828105606054764</c:v>
                </c:pt>
                <c:pt idx="3">
                  <c:v>0.84301569569418933</c:v>
                </c:pt>
                <c:pt idx="4">
                  <c:v>0.78997308223425378</c:v>
                </c:pt>
                <c:pt idx="5">
                  <c:v>1.0016178514600262</c:v>
                </c:pt>
                <c:pt idx="6">
                  <c:v>1.3071477412177495</c:v>
                </c:pt>
                <c:pt idx="7">
                  <c:v>0.68149111889259961</c:v>
                </c:pt>
                <c:pt idx="8">
                  <c:v>0.4488968603873813</c:v>
                </c:pt>
                <c:pt idx="9">
                  <c:v>0.48526905581477292</c:v>
                </c:pt>
                <c:pt idx="10">
                  <c:v>0.67464140117390414</c:v>
                </c:pt>
                <c:pt idx="11">
                  <c:v>0.81471980839536917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78-4530-B84A-96EB1F83B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5220608"/>
        <c:axId val="155230592"/>
      </c:lineChart>
      <c:catAx>
        <c:axId val="15522060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55230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52305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#,##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5522060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0913608474307752"/>
          <c:y val="0.34653569293937281"/>
          <c:w val="0.17781420063112074"/>
          <c:h val="0.2541261055239382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1" l="0.75000000000000155" r="0.75000000000000155" t="1" header="0.49212598450000072" footer="0.4921259845000007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Basic Trends</a:t>
            </a:r>
            <a:endParaRPr lang="cs-CZ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Trendy!$C$21</c:f>
              <c:strCache>
                <c:ptCount val="1"/>
                <c:pt idx="0">
                  <c:v>Revenues on sale of products and services / Celkové tržby z produkce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0"/>
          </c:trendline>
          <c:cat>
            <c:numRef>
              <c:f>Trendy!$D$20:$U$20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Trendy!$D$21:$U$21</c:f>
              <c:numCache>
                <c:formatCode>#,##0</c:formatCode>
                <c:ptCount val="12"/>
                <c:pt idx="0">
                  <c:v>395822.54802999995</c:v>
                </c:pt>
                <c:pt idx="1">
                  <c:v>416605.38604000001</c:v>
                </c:pt>
                <c:pt idx="2">
                  <c:v>443030.99691999995</c:v>
                </c:pt>
                <c:pt idx="3">
                  <c:v>406108.14801999996</c:v>
                </c:pt>
                <c:pt idx="4">
                  <c:v>403064.01548</c:v>
                </c:pt>
                <c:pt idx="5">
                  <c:v>385874.04248</c:v>
                </c:pt>
                <c:pt idx="6">
                  <c:v>389927.51297000004</c:v>
                </c:pt>
                <c:pt idx="7">
                  <c:v>270523.63186999998</c:v>
                </c:pt>
                <c:pt idx="8">
                  <c:v>294613.65986000001</c:v>
                </c:pt>
                <c:pt idx="9">
                  <c:v>297953.84255</c:v>
                </c:pt>
                <c:pt idx="10">
                  <c:v>286345.73436</c:v>
                </c:pt>
                <c:pt idx="11">
                  <c:v>208824.95981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56-4DF7-BD42-D74F95606462}"/>
            </c:ext>
          </c:extLst>
        </c:ser>
        <c:ser>
          <c:idx val="2"/>
          <c:order val="1"/>
          <c:tx>
            <c:strRef>
              <c:f>Trendy!$C$22</c:f>
              <c:strCache>
                <c:ptCount val="1"/>
                <c:pt idx="0">
                  <c:v>Added value / Přidaná hodnota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Trendy!$D$20:$U$20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Trendy!$D$22:$U$22</c:f>
              <c:numCache>
                <c:formatCode>#,##0</c:formatCode>
                <c:ptCount val="12"/>
                <c:pt idx="0">
                  <c:v>105245.07349999994</c:v>
                </c:pt>
                <c:pt idx="1">
                  <c:v>126358.09682000004</c:v>
                </c:pt>
                <c:pt idx="2">
                  <c:v>157520.52373999992</c:v>
                </c:pt>
                <c:pt idx="3">
                  <c:v>175923.35196999996</c:v>
                </c:pt>
                <c:pt idx="4">
                  <c:v>164838.30976999999</c:v>
                </c:pt>
                <c:pt idx="5">
                  <c:v>173839.33655999997</c:v>
                </c:pt>
                <c:pt idx="6">
                  <c:v>175532.74385000006</c:v>
                </c:pt>
                <c:pt idx="7">
                  <c:v>120834.96232999998</c:v>
                </c:pt>
                <c:pt idx="8">
                  <c:v>131973.0583</c:v>
                </c:pt>
                <c:pt idx="9">
                  <c:v>127644.27575999999</c:v>
                </c:pt>
                <c:pt idx="10">
                  <c:v>138180.31218000001</c:v>
                </c:pt>
                <c:pt idx="11">
                  <c:v>97591.451689999987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56-4DF7-BD42-D74F95606462}"/>
            </c:ext>
          </c:extLst>
        </c:ser>
        <c:ser>
          <c:idx val="3"/>
          <c:order val="2"/>
          <c:tx>
            <c:strRef>
              <c:f>Trendy!$C$23</c:f>
              <c:strCache>
                <c:ptCount val="1"/>
                <c:pt idx="0">
                  <c:v>Operating profit (loss) (+/-) / Provozní výsledek hospodaření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Trendy!$D$20:$U$20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Trendy!$D$23:$U$23</c:f>
              <c:numCache>
                <c:formatCode>#,##0</c:formatCode>
                <c:ptCount val="12"/>
                <c:pt idx="0">
                  <c:v>19633.112739999942</c:v>
                </c:pt>
                <c:pt idx="1">
                  <c:v>25670.98935000004</c:v>
                </c:pt>
                <c:pt idx="2">
                  <c:v>35980.43383999994</c:v>
                </c:pt>
                <c:pt idx="3">
                  <c:v>15091.864479999942</c:v>
                </c:pt>
                <c:pt idx="4">
                  <c:v>7561.3615199999886</c:v>
                </c:pt>
                <c:pt idx="5">
                  <c:v>18317.057949999977</c:v>
                </c:pt>
                <c:pt idx="6">
                  <c:v>22556.758780000069</c:v>
                </c:pt>
                <c:pt idx="7">
                  <c:v>-1158.3997500000301</c:v>
                </c:pt>
                <c:pt idx="8">
                  <c:v>50.348630000005869</c:v>
                </c:pt>
                <c:pt idx="9">
                  <c:v>1299.2887499999861</c:v>
                </c:pt>
                <c:pt idx="10">
                  <c:v>4838.4018200000019</c:v>
                </c:pt>
                <c:pt idx="11">
                  <c:v>17070.23696999998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56-4DF7-BD42-D74F95606462}"/>
            </c:ext>
          </c:extLst>
        </c:ser>
        <c:ser>
          <c:idx val="4"/>
          <c:order val="3"/>
          <c:tx>
            <c:strRef>
              <c:f>Trendy!$C$24</c:f>
              <c:strCache>
                <c:ptCount val="1"/>
                <c:pt idx="0">
                  <c:v>Income (loss) after tax (+/-) / Výsledek hospodaření po zdanění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Trendy!$D$20:$U$20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Trendy!$D$24:$U$24</c:f>
              <c:numCache>
                <c:formatCode>#,##0</c:formatCode>
                <c:ptCount val="12"/>
                <c:pt idx="0">
                  <c:v>17693.028049999943</c:v>
                </c:pt>
                <c:pt idx="1">
                  <c:v>20139.726130000039</c:v>
                </c:pt>
                <c:pt idx="2">
                  <c:v>27464.244969999942</c:v>
                </c:pt>
                <c:pt idx="3">
                  <c:v>11279.744989999943</c:v>
                </c:pt>
                <c:pt idx="4">
                  <c:v>5126.2751699999881</c:v>
                </c:pt>
                <c:pt idx="5">
                  <c:v>14240.429259999974</c:v>
                </c:pt>
                <c:pt idx="6">
                  <c:v>16820.641300000072</c:v>
                </c:pt>
                <c:pt idx="7">
                  <c:v>834.29391999997017</c:v>
                </c:pt>
                <c:pt idx="8">
                  <c:v>32.101570000006177</c:v>
                </c:pt>
                <c:pt idx="9">
                  <c:v>194.97532999998685</c:v>
                </c:pt>
                <c:pt idx="10">
                  <c:v>4640.4409600000017</c:v>
                </c:pt>
                <c:pt idx="11">
                  <c:v>16917.126489999981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456-4DF7-BD42-D74F956064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6873968"/>
        <c:axId val="136874448"/>
      </c:barChart>
      <c:catAx>
        <c:axId val="13687396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36874448"/>
        <c:crosses val="autoZero"/>
        <c:auto val="1"/>
        <c:lblAlgn val="ctr"/>
        <c:lblOffset val="100"/>
        <c:noMultiLvlLbl val="0"/>
      </c:catAx>
      <c:valAx>
        <c:axId val="136874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36873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s-CZ"/>
              <a:t>Ukazatele ziskovosti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'Ziskovost a náklady'!$B$17</c:f>
              <c:strCache>
                <c:ptCount val="1"/>
                <c:pt idx="0">
                  <c:v>Obchodní marže</c:v>
                </c:pt>
              </c:strCache>
            </c:strRef>
          </c:tx>
          <c:invertIfNegative val="0"/>
          <c:cat>
            <c:numRef>
              <c:f>'Ziskovost a náklady'!$C$16:$T$16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'Ziskovost a náklady'!$C$17:$T$17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57-4F46-B71C-6C4100428389}"/>
            </c:ext>
          </c:extLst>
        </c:ser>
        <c:ser>
          <c:idx val="1"/>
          <c:order val="1"/>
          <c:tx>
            <c:strRef>
              <c:f>'Ziskovost a náklady'!$B$18</c:f>
              <c:strCache>
                <c:ptCount val="1"/>
                <c:pt idx="0">
                  <c:v>Přidaná hodnota</c:v>
                </c:pt>
              </c:strCache>
            </c:strRef>
          </c:tx>
          <c:invertIfNegative val="0"/>
          <c:cat>
            <c:numRef>
              <c:f>'Ziskovost a náklady'!$C$16:$T$16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'Ziskovost a náklady'!$C$18:$T$18</c:f>
              <c:numCache>
                <c:formatCode>#,##0</c:formatCode>
                <c:ptCount val="12"/>
                <c:pt idx="0">
                  <c:v>105245.07349999994</c:v>
                </c:pt>
                <c:pt idx="1">
                  <c:v>126358.09682000004</c:v>
                </c:pt>
                <c:pt idx="2">
                  <c:v>157520.52373999992</c:v>
                </c:pt>
                <c:pt idx="3">
                  <c:v>175923.35196999996</c:v>
                </c:pt>
                <c:pt idx="4">
                  <c:v>164838.30976999999</c:v>
                </c:pt>
                <c:pt idx="5">
                  <c:v>173839.33655999997</c:v>
                </c:pt>
                <c:pt idx="6">
                  <c:v>175532.74385000006</c:v>
                </c:pt>
                <c:pt idx="7">
                  <c:v>120834.96232999998</c:v>
                </c:pt>
                <c:pt idx="8">
                  <c:v>131973.0583</c:v>
                </c:pt>
                <c:pt idx="9">
                  <c:v>127644.27575999999</c:v>
                </c:pt>
                <c:pt idx="10">
                  <c:v>138180.31218000001</c:v>
                </c:pt>
                <c:pt idx="11">
                  <c:v>97591.451689999987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57-4F46-B71C-6C4100428389}"/>
            </c:ext>
          </c:extLst>
        </c:ser>
        <c:ser>
          <c:idx val="2"/>
          <c:order val="2"/>
          <c:tx>
            <c:strRef>
              <c:f>'Ziskovost a náklady'!$B$19</c:f>
              <c:strCache>
                <c:ptCount val="1"/>
                <c:pt idx="0">
                  <c:v>Provozní výsledek hospodaření</c:v>
                </c:pt>
              </c:strCache>
            </c:strRef>
          </c:tx>
          <c:invertIfNegative val="0"/>
          <c:cat>
            <c:numRef>
              <c:f>'Ziskovost a náklady'!$C$16:$T$16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'Ziskovost a náklady'!$C$19:$T$19</c:f>
              <c:numCache>
                <c:formatCode>#,##0</c:formatCode>
                <c:ptCount val="12"/>
                <c:pt idx="0">
                  <c:v>19633.112739999942</c:v>
                </c:pt>
                <c:pt idx="1">
                  <c:v>25670.98935000004</c:v>
                </c:pt>
                <c:pt idx="2">
                  <c:v>35980.43383999994</c:v>
                </c:pt>
                <c:pt idx="3">
                  <c:v>15091.864479999942</c:v>
                </c:pt>
                <c:pt idx="4">
                  <c:v>7561.3615199999886</c:v>
                </c:pt>
                <c:pt idx="5">
                  <c:v>18317.057949999977</c:v>
                </c:pt>
                <c:pt idx="6">
                  <c:v>22556.758780000069</c:v>
                </c:pt>
                <c:pt idx="7">
                  <c:v>-1158.3997500000301</c:v>
                </c:pt>
                <c:pt idx="8">
                  <c:v>50.348630000005869</c:v>
                </c:pt>
                <c:pt idx="9">
                  <c:v>1299.2887499999861</c:v>
                </c:pt>
                <c:pt idx="10">
                  <c:v>4838.4018200000019</c:v>
                </c:pt>
                <c:pt idx="11">
                  <c:v>17070.23696999998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57-4F46-B71C-6C4100428389}"/>
            </c:ext>
          </c:extLst>
        </c:ser>
        <c:ser>
          <c:idx val="3"/>
          <c:order val="3"/>
          <c:tx>
            <c:strRef>
              <c:f>'Ziskovost a náklady'!$B$20</c:f>
              <c:strCache>
                <c:ptCount val="1"/>
                <c:pt idx="0">
                  <c:v>Celkový výsledek před zdaněním (EBT)</c:v>
                </c:pt>
              </c:strCache>
            </c:strRef>
          </c:tx>
          <c:invertIfNegative val="0"/>
          <c:cat>
            <c:numRef>
              <c:f>'Ziskovost a náklady'!$C$16:$T$16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'Ziskovost a náklady'!$C$20:$T$20</c:f>
              <c:numCache>
                <c:formatCode>#,##0</c:formatCode>
                <c:ptCount val="12"/>
                <c:pt idx="0">
                  <c:v>21870.748049999944</c:v>
                </c:pt>
                <c:pt idx="1">
                  <c:v>24952.726130000039</c:v>
                </c:pt>
                <c:pt idx="2">
                  <c:v>33930.464969999943</c:v>
                </c:pt>
                <c:pt idx="3">
                  <c:v>13948.207349999942</c:v>
                </c:pt>
                <c:pt idx="4">
                  <c:v>6426.884079999988</c:v>
                </c:pt>
                <c:pt idx="5">
                  <c:v>17725.823049999974</c:v>
                </c:pt>
                <c:pt idx="6">
                  <c:v>21062.87077000007</c:v>
                </c:pt>
                <c:pt idx="7">
                  <c:v>1039.8309599999702</c:v>
                </c:pt>
                <c:pt idx="8">
                  <c:v>130.59229000000619</c:v>
                </c:pt>
                <c:pt idx="9">
                  <c:v>300.68518999998685</c:v>
                </c:pt>
                <c:pt idx="10">
                  <c:v>5719.8669800000016</c:v>
                </c:pt>
                <c:pt idx="11">
                  <c:v>16917.126489999981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57-4F46-B71C-6C4100428389}"/>
            </c:ext>
          </c:extLst>
        </c:ser>
        <c:ser>
          <c:idx val="4"/>
          <c:order val="4"/>
          <c:tx>
            <c:strRef>
              <c:f>'Ziskovost a náklady'!$B$21</c:f>
              <c:strCache>
                <c:ptCount val="1"/>
                <c:pt idx="0">
                  <c:v>Celkový výsledek po zdanění (EAT)</c:v>
                </c:pt>
              </c:strCache>
            </c:strRef>
          </c:tx>
          <c:invertIfNegative val="0"/>
          <c:cat>
            <c:numRef>
              <c:f>'Ziskovost a náklady'!$C$16:$T$16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'Ziskovost a náklady'!$C$21:$T$21</c:f>
              <c:numCache>
                <c:formatCode>#,##0</c:formatCode>
                <c:ptCount val="12"/>
                <c:pt idx="0">
                  <c:v>17693.028049999943</c:v>
                </c:pt>
                <c:pt idx="1">
                  <c:v>20139.726130000039</c:v>
                </c:pt>
                <c:pt idx="2">
                  <c:v>27464.244969999942</c:v>
                </c:pt>
                <c:pt idx="3">
                  <c:v>11279.744989999943</c:v>
                </c:pt>
                <c:pt idx="4">
                  <c:v>5126.2751699999881</c:v>
                </c:pt>
                <c:pt idx="5">
                  <c:v>14240.429259999974</c:v>
                </c:pt>
                <c:pt idx="6">
                  <c:v>16820.641300000072</c:v>
                </c:pt>
                <c:pt idx="7">
                  <c:v>834.29391999997017</c:v>
                </c:pt>
                <c:pt idx="8">
                  <c:v>32.101570000006177</c:v>
                </c:pt>
                <c:pt idx="9">
                  <c:v>194.97532999998685</c:v>
                </c:pt>
                <c:pt idx="10">
                  <c:v>4640.4409600000017</c:v>
                </c:pt>
                <c:pt idx="11">
                  <c:v>16917.126489999981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57-4F46-B71C-6C41004283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51951616"/>
        <c:axId val="151969792"/>
      </c:barChart>
      <c:catAx>
        <c:axId val="15195161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cs-CZ"/>
          </a:p>
        </c:txPr>
        <c:crossAx val="151969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1969792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15195161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155" r="0.75000000000000155" t="1" header="0.49212598450000072" footer="0.49212598450000072"/>
    <c:pageSetup paperSize="9" orientation="landscape" horizontalDpi="300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s-CZ"/>
              <a:t>Vývoj struktury nákladových druhů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'Ziskovost a náklady'!$B$48</c:f>
              <c:strCache>
                <c:ptCount val="1"/>
                <c:pt idx="0">
                  <c:v>Náklady na prodané zboží</c:v>
                </c:pt>
              </c:strCache>
            </c:strRef>
          </c:tx>
          <c:invertIfNegative val="0"/>
          <c:cat>
            <c:numRef>
              <c:f>'Ziskovost a náklady'!$C$47:$T$47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'Ziskovost a náklady'!$C$48:$T$48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F6-4EA9-B912-DDF309DE6EC9}"/>
            </c:ext>
          </c:extLst>
        </c:ser>
        <c:ser>
          <c:idx val="1"/>
          <c:order val="1"/>
          <c:tx>
            <c:strRef>
              <c:f>'Ziskovost a náklady'!$B$49</c:f>
              <c:strCache>
                <c:ptCount val="1"/>
                <c:pt idx="0">
                  <c:v>Spotřeba materiálu a energie</c:v>
                </c:pt>
              </c:strCache>
            </c:strRef>
          </c:tx>
          <c:invertIfNegative val="0"/>
          <c:cat>
            <c:numRef>
              <c:f>'Ziskovost a náklady'!$C$47:$T$47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'Ziskovost a náklady'!$C$49:$T$49</c:f>
              <c:numCache>
                <c:formatCode>#,##0</c:formatCode>
                <c:ptCount val="12"/>
                <c:pt idx="0">
                  <c:v>107437.27119</c:v>
                </c:pt>
                <c:pt idx="1">
                  <c:v>103250.17237</c:v>
                </c:pt>
                <c:pt idx="2">
                  <c:v>83850.685219999999</c:v>
                </c:pt>
                <c:pt idx="3">
                  <c:v>64376.943920000005</c:v>
                </c:pt>
                <c:pt idx="4">
                  <c:v>63149.999340000002</c:v>
                </c:pt>
                <c:pt idx="5">
                  <c:v>69286.439339999997</c:v>
                </c:pt>
                <c:pt idx="6">
                  <c:v>69490.126140000008</c:v>
                </c:pt>
                <c:pt idx="7">
                  <c:v>52094.595289999997</c:v>
                </c:pt>
                <c:pt idx="8">
                  <c:v>57912.871380000004</c:v>
                </c:pt>
                <c:pt idx="9">
                  <c:v>72853.363580000005</c:v>
                </c:pt>
                <c:pt idx="10">
                  <c:v>58181.409670000001</c:v>
                </c:pt>
                <c:pt idx="11">
                  <c:v>45013.285400000001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F6-4EA9-B912-DDF309DE6EC9}"/>
            </c:ext>
          </c:extLst>
        </c:ser>
        <c:ser>
          <c:idx val="2"/>
          <c:order val="2"/>
          <c:tx>
            <c:strRef>
              <c:f>'Ziskovost a náklady'!$B$50</c:f>
              <c:strCache>
                <c:ptCount val="1"/>
                <c:pt idx="0">
                  <c:v>Služby</c:v>
                </c:pt>
              </c:strCache>
            </c:strRef>
          </c:tx>
          <c:invertIfNegative val="0"/>
          <c:cat>
            <c:numRef>
              <c:f>'Ziskovost a náklady'!$C$47:$T$47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'Ziskovost a náklady'!$C$50:$T$50</c:f>
              <c:numCache>
                <c:formatCode>#,##0</c:formatCode>
                <c:ptCount val="12"/>
                <c:pt idx="0">
                  <c:v>183140.20334000001</c:v>
                </c:pt>
                <c:pt idx="1">
                  <c:v>186997.11684999999</c:v>
                </c:pt>
                <c:pt idx="2">
                  <c:v>201659.78796000002</c:v>
                </c:pt>
                <c:pt idx="3">
                  <c:v>165807.85212999998</c:v>
                </c:pt>
                <c:pt idx="4">
                  <c:v>175075.70637</c:v>
                </c:pt>
                <c:pt idx="5">
                  <c:v>142748.26658000002</c:v>
                </c:pt>
                <c:pt idx="6">
                  <c:v>144904.64297999998</c:v>
                </c:pt>
                <c:pt idx="7">
                  <c:v>97594.074250000005</c:v>
                </c:pt>
                <c:pt idx="8">
                  <c:v>104727.73018000001</c:v>
                </c:pt>
                <c:pt idx="9">
                  <c:v>97456.203209999992</c:v>
                </c:pt>
                <c:pt idx="10">
                  <c:v>89984.01251</c:v>
                </c:pt>
                <c:pt idx="11">
                  <c:v>66220.222720000005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F6-4EA9-B912-DDF309DE6EC9}"/>
            </c:ext>
          </c:extLst>
        </c:ser>
        <c:ser>
          <c:idx val="3"/>
          <c:order val="3"/>
          <c:tx>
            <c:strRef>
              <c:f>'Ziskovost a náklady'!$B$51</c:f>
              <c:strCache>
                <c:ptCount val="1"/>
                <c:pt idx="0">
                  <c:v>Osobní náklady</c:v>
                </c:pt>
              </c:strCache>
            </c:strRef>
          </c:tx>
          <c:invertIfNegative val="0"/>
          <c:cat>
            <c:numRef>
              <c:f>'Ziskovost a náklady'!$C$47:$T$47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'Ziskovost a náklady'!$C$51:$T$51</c:f>
              <c:numCache>
                <c:formatCode>#,##0</c:formatCode>
                <c:ptCount val="12"/>
                <c:pt idx="0">
                  <c:v>31770.216950000002</c:v>
                </c:pt>
                <c:pt idx="1">
                  <c:v>35165.492319999998</c:v>
                </c:pt>
                <c:pt idx="2">
                  <c:v>38014.718559999994</c:v>
                </c:pt>
                <c:pt idx="3">
                  <c:v>38379.624610000006</c:v>
                </c:pt>
                <c:pt idx="4">
                  <c:v>40458.854510000005</c:v>
                </c:pt>
                <c:pt idx="5">
                  <c:v>43593.99452</c:v>
                </c:pt>
                <c:pt idx="6">
                  <c:v>47807.033629999998</c:v>
                </c:pt>
                <c:pt idx="7">
                  <c:v>43557.466479999995</c:v>
                </c:pt>
                <c:pt idx="8">
                  <c:v>54768.058669999991</c:v>
                </c:pt>
                <c:pt idx="9">
                  <c:v>61803.979199999994</c:v>
                </c:pt>
                <c:pt idx="10">
                  <c:v>61542.785319999995</c:v>
                </c:pt>
                <c:pt idx="11">
                  <c:v>46174.693720000003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F6-4EA9-B912-DDF309DE6EC9}"/>
            </c:ext>
          </c:extLst>
        </c:ser>
        <c:ser>
          <c:idx val="4"/>
          <c:order val="4"/>
          <c:tx>
            <c:strRef>
              <c:f>'Ziskovost a náklady'!$B$52</c:f>
              <c:strCache>
                <c:ptCount val="1"/>
                <c:pt idx="0">
                  <c:v>Daně a poplatky</c:v>
                </c:pt>
              </c:strCache>
            </c:strRef>
          </c:tx>
          <c:invertIfNegative val="0"/>
          <c:cat>
            <c:numRef>
              <c:f>'Ziskovost a náklady'!$C$47:$T$47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'Ziskovost a náklady'!$C$52:$T$52</c:f>
              <c:numCache>
                <c:formatCode>#,##0</c:formatCode>
                <c:ptCount val="12"/>
                <c:pt idx="0">
                  <c:v>10028.69152</c:v>
                </c:pt>
                <c:pt idx="1">
                  <c:v>12400.27649</c:v>
                </c:pt>
                <c:pt idx="2">
                  <c:v>11895.433060000001</c:v>
                </c:pt>
                <c:pt idx="3">
                  <c:v>26596.442940000001</c:v>
                </c:pt>
                <c:pt idx="4">
                  <c:v>22634.67685</c:v>
                </c:pt>
                <c:pt idx="5">
                  <c:v>28933.280579999999</c:v>
                </c:pt>
                <c:pt idx="6">
                  <c:v>31932.23891</c:v>
                </c:pt>
                <c:pt idx="7">
                  <c:v>28871.226690000003</c:v>
                </c:pt>
                <c:pt idx="8">
                  <c:v>27558.13566</c:v>
                </c:pt>
                <c:pt idx="9">
                  <c:v>23961.191930000001</c:v>
                </c:pt>
                <c:pt idx="10">
                  <c:v>19961.694010000003</c:v>
                </c:pt>
                <c:pt idx="11">
                  <c:v>20135.182820000002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FF6-4EA9-B912-DDF309DE6EC9}"/>
            </c:ext>
          </c:extLst>
        </c:ser>
        <c:ser>
          <c:idx val="5"/>
          <c:order val="5"/>
          <c:tx>
            <c:strRef>
              <c:f>'Ziskovost a náklady'!$B$53</c:f>
              <c:strCache>
                <c:ptCount val="1"/>
                <c:pt idx="0">
                  <c:v>Odpisy dlouhodobého majetku</c:v>
                </c:pt>
              </c:strCache>
            </c:strRef>
          </c:tx>
          <c:invertIfNegative val="0"/>
          <c:cat>
            <c:numRef>
              <c:f>'Ziskovost a náklady'!$C$47:$T$47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'Ziskovost a náklady'!$C$53:$T$53</c:f>
              <c:numCache>
                <c:formatCode>#,##0</c:formatCode>
                <c:ptCount val="12"/>
                <c:pt idx="0">
                  <c:v>41005.268899999995</c:v>
                </c:pt>
                <c:pt idx="1">
                  <c:v>50146.137040000001</c:v>
                </c:pt>
                <c:pt idx="2">
                  <c:v>68714.369139999995</c:v>
                </c:pt>
                <c:pt idx="3">
                  <c:v>93516.886040000012</c:v>
                </c:pt>
                <c:pt idx="4">
                  <c:v>92536.421629999997</c:v>
                </c:pt>
                <c:pt idx="5">
                  <c:v>79816.923719999992</c:v>
                </c:pt>
                <c:pt idx="6">
                  <c:v>69835.034419999996</c:v>
                </c:pt>
                <c:pt idx="7">
                  <c:v>47780.208490000005</c:v>
                </c:pt>
                <c:pt idx="8">
                  <c:v>48190.40165</c:v>
                </c:pt>
                <c:pt idx="9">
                  <c:v>39551.35873</c:v>
                </c:pt>
                <c:pt idx="10">
                  <c:v>53452.656280000003</c:v>
                </c:pt>
                <c:pt idx="11">
                  <c:v>12139.725050000001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FF6-4EA9-B912-DDF309DE6EC9}"/>
            </c:ext>
          </c:extLst>
        </c:ser>
        <c:ser>
          <c:idx val="6"/>
          <c:order val="6"/>
          <c:tx>
            <c:strRef>
              <c:f>'Ziskovost a náklady'!$B$54</c:f>
              <c:strCache>
                <c:ptCount val="1"/>
                <c:pt idx="0">
                  <c:v>Ostatní provozní náklady</c:v>
                </c:pt>
              </c:strCache>
            </c:strRef>
          </c:tx>
          <c:invertIfNegative val="0"/>
          <c:cat>
            <c:numRef>
              <c:f>'Ziskovost a náklady'!$C$47:$T$47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'Ziskovost a náklady'!$C$54:$T$54</c:f>
              <c:numCache>
                <c:formatCode>#,##0</c:formatCode>
                <c:ptCount val="12"/>
                <c:pt idx="0">
                  <c:v>8409.1029600000002</c:v>
                </c:pt>
                <c:pt idx="1">
                  <c:v>11102.4571</c:v>
                </c:pt>
                <c:pt idx="2">
                  <c:v>10559.07301</c:v>
                </c:pt>
                <c:pt idx="3">
                  <c:v>10259.96912</c:v>
                </c:pt>
                <c:pt idx="4">
                  <c:v>7868.1156599999995</c:v>
                </c:pt>
                <c:pt idx="5">
                  <c:v>7127.0838899999999</c:v>
                </c:pt>
                <c:pt idx="6">
                  <c:v>7389.5429000000004</c:v>
                </c:pt>
                <c:pt idx="7">
                  <c:v>7627.4242100000001</c:v>
                </c:pt>
                <c:pt idx="8">
                  <c:v>8294.3019800000002</c:v>
                </c:pt>
                <c:pt idx="9">
                  <c:v>9250.0811099999992</c:v>
                </c:pt>
                <c:pt idx="10">
                  <c:v>9067.2417100000002</c:v>
                </c:pt>
                <c:pt idx="11">
                  <c:v>7073.9993000000004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F6-4EA9-B912-DDF309DE6EC9}"/>
            </c:ext>
          </c:extLst>
        </c:ser>
        <c:ser>
          <c:idx val="7"/>
          <c:order val="7"/>
          <c:tx>
            <c:strRef>
              <c:f>'Ziskovost a náklady'!$B$55</c:f>
              <c:strCache>
                <c:ptCount val="1"/>
                <c:pt idx="0">
                  <c:v>Finanční náklady</c:v>
                </c:pt>
              </c:strCache>
            </c:strRef>
          </c:tx>
          <c:invertIfNegative val="0"/>
          <c:cat>
            <c:numRef>
              <c:f>'Ziskovost a náklady'!$C$47:$T$47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'Ziskovost a náklady'!$C$55:$T$55</c:f>
              <c:numCache>
                <c:formatCode>#,##0</c:formatCode>
                <c:ptCount val="12"/>
                <c:pt idx="0">
                  <c:v>5804.0008899999993</c:v>
                </c:pt>
                <c:pt idx="1">
                  <c:v>2779.0371099999998</c:v>
                </c:pt>
                <c:pt idx="2">
                  <c:v>4482.1248999999998</c:v>
                </c:pt>
                <c:pt idx="3">
                  <c:v>1522.5835400000001</c:v>
                </c:pt>
                <c:pt idx="4">
                  <c:v>6618.4522100000004</c:v>
                </c:pt>
                <c:pt idx="5">
                  <c:v>3650.09996</c:v>
                </c:pt>
                <c:pt idx="6">
                  <c:v>3498.5823300000002</c:v>
                </c:pt>
                <c:pt idx="7">
                  <c:v>6661.1225799999993</c:v>
                </c:pt>
                <c:pt idx="8">
                  <c:v>5765.88375</c:v>
                </c:pt>
                <c:pt idx="9">
                  <c:v>6555.9883499999996</c:v>
                </c:pt>
                <c:pt idx="10">
                  <c:v>4762.6255899999996</c:v>
                </c:pt>
                <c:pt idx="11">
                  <c:v>2225.2718800000002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FF6-4EA9-B912-DDF309DE6EC9}"/>
            </c:ext>
          </c:extLst>
        </c:ser>
        <c:ser>
          <c:idx val="8"/>
          <c:order val="8"/>
          <c:tx>
            <c:strRef>
              <c:f>'Ziskovost a náklady'!$B$56</c:f>
              <c:strCache>
                <c:ptCount val="1"/>
                <c:pt idx="0">
                  <c:v>Mimořádné náklady</c:v>
                </c:pt>
              </c:strCache>
            </c:strRef>
          </c:tx>
          <c:invertIfNegative val="0"/>
          <c:cat>
            <c:numRef>
              <c:f>'Ziskovost a náklady'!$C$47:$T$47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'Ziskovost a náklady'!$C$56:$T$56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-26.346</c:v>
                </c:pt>
                <c:pt idx="5">
                  <c:v>-239.51400000000001</c:v>
                </c:pt>
                <c:pt idx="6">
                  <c:v>41.637999999999998</c:v>
                </c:pt>
                <c:pt idx="7">
                  <c:v>-86.912999999999997</c:v>
                </c:pt>
                <c:pt idx="8">
                  <c:v>-1461.4143700000002</c:v>
                </c:pt>
                <c:pt idx="9">
                  <c:v>-72.418000000000006</c:v>
                </c:pt>
                <c:pt idx="10">
                  <c:v>20.828679999999999</c:v>
                </c:pt>
                <c:pt idx="11">
                  <c:v>80.626999999999995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FF6-4EA9-B912-DDF309DE6EC9}"/>
            </c:ext>
          </c:extLst>
        </c:ser>
        <c:ser>
          <c:idx val="9"/>
          <c:order val="9"/>
          <c:tx>
            <c:strRef>
              <c:f>'Ziskovost a náklady'!$B$57</c:f>
              <c:strCache>
                <c:ptCount val="1"/>
                <c:pt idx="0">
                  <c:v>Daň z příjmů</c:v>
                </c:pt>
              </c:strCache>
            </c:strRef>
          </c:tx>
          <c:invertIfNegative val="0"/>
          <c:cat>
            <c:numRef>
              <c:f>'Ziskovost a náklady'!$C$47:$T$47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'Ziskovost a náklady'!$C$57:$T$57</c:f>
              <c:numCache>
                <c:formatCode>#,##0</c:formatCode>
                <c:ptCount val="12"/>
                <c:pt idx="0">
                  <c:v>4177.72</c:v>
                </c:pt>
                <c:pt idx="1">
                  <c:v>4813</c:v>
                </c:pt>
                <c:pt idx="2">
                  <c:v>6466.22</c:v>
                </c:pt>
                <c:pt idx="3">
                  <c:v>2668.46236</c:v>
                </c:pt>
                <c:pt idx="4">
                  <c:v>1300.6089099999999</c:v>
                </c:pt>
                <c:pt idx="5">
                  <c:v>3485.3937900000001</c:v>
                </c:pt>
                <c:pt idx="6">
                  <c:v>4242.2294699999993</c:v>
                </c:pt>
                <c:pt idx="7">
                  <c:v>205.53704000000002</c:v>
                </c:pt>
                <c:pt idx="8">
                  <c:v>98.490719999999996</c:v>
                </c:pt>
                <c:pt idx="9">
                  <c:v>105.70986000000001</c:v>
                </c:pt>
                <c:pt idx="10">
                  <c:v>1079.4260200000001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FF6-4EA9-B912-DDF309DE6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49084416"/>
        <c:axId val="151863296"/>
      </c:barChart>
      <c:catAx>
        <c:axId val="14908441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cs-CZ"/>
          </a:p>
        </c:txPr>
        <c:crossAx val="1518632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1863296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14908441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155" r="0.75000000000000155" t="1" header="0.49212598450000072" footer="0.4921259845000007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615029921100598E-2"/>
          <c:y val="8.2508516748261998E-2"/>
          <c:w val="0.88673279279934136"/>
          <c:h val="0.633665408626653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Rentabilita!$B$3</c:f>
              <c:strCache>
                <c:ptCount val="1"/>
                <c:pt idx="0">
                  <c:v>Rentabilita kapitálu (ROI)</c:v>
                </c:pt>
              </c:strCache>
            </c:strRef>
          </c:tx>
          <c:invertIfNegative val="0"/>
          <c:cat>
            <c:numRef>
              <c:f>Rentabilita!$C$2:$T$2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Rentabilita!$C$3:$T$3</c:f>
              <c:numCache>
                <c:formatCode>0.0%</c:formatCode>
                <c:ptCount val="12"/>
                <c:pt idx="0">
                  <c:v>0.17193580111480433</c:v>
                </c:pt>
                <c:pt idx="1">
                  <c:v>0.16306920342153222</c:v>
                </c:pt>
                <c:pt idx="2">
                  <c:v>0.1665228589496934</c:v>
                </c:pt>
                <c:pt idx="3">
                  <c:v>5.6572625478223476E-2</c:v>
                </c:pt>
                <c:pt idx="4">
                  <c:v>4.8340605822482528E-2</c:v>
                </c:pt>
                <c:pt idx="5">
                  <c:v>9.2268491678550182E-2</c:v>
                </c:pt>
                <c:pt idx="6">
                  <c:v>0.13236655851371107</c:v>
                </c:pt>
                <c:pt idx="7">
                  <c:v>4.1080135577341942E-2</c:v>
                </c:pt>
                <c:pt idx="8">
                  <c:v>1.7854069987623008E-2</c:v>
                </c:pt>
                <c:pt idx="9">
                  <c:v>1.7993885888864396E-2</c:v>
                </c:pt>
                <c:pt idx="10">
                  <c:v>4.090721407236303E-2</c:v>
                </c:pt>
                <c:pt idx="11">
                  <c:v>7.9657564939598982E-2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39-40CA-B39B-21AB8D9C40AF}"/>
            </c:ext>
          </c:extLst>
        </c:ser>
        <c:ser>
          <c:idx val="1"/>
          <c:order val="1"/>
          <c:tx>
            <c:strRef>
              <c:f>Rentabilita!$B$4</c:f>
              <c:strCache>
                <c:ptCount val="1"/>
                <c:pt idx="0">
                  <c:v>Rentabilita vlastního kapitálu (ROE)</c:v>
                </c:pt>
              </c:strCache>
            </c:strRef>
          </c:tx>
          <c:invertIfNegative val="0"/>
          <c:cat>
            <c:numRef>
              <c:f>Rentabilita!$C$2:$T$2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Rentabilita!$C$4:$T$4</c:f>
              <c:numCache>
                <c:formatCode>0.0%</c:formatCode>
                <c:ptCount val="12"/>
                <c:pt idx="0">
                  <c:v>0.2127471814609263</c:v>
                </c:pt>
                <c:pt idx="1">
                  <c:v>0.19495535727812011</c:v>
                </c:pt>
                <c:pt idx="2">
                  <c:v>0.20080820175756645</c:v>
                </c:pt>
                <c:pt idx="3">
                  <c:v>7.6189635298161418E-2</c:v>
                </c:pt>
                <c:pt idx="4">
                  <c:v>3.6836158309108517E-2</c:v>
                </c:pt>
                <c:pt idx="5">
                  <c:v>9.2829190655460345E-2</c:v>
                </c:pt>
                <c:pt idx="6">
                  <c:v>0.10845939839347588</c:v>
                </c:pt>
                <c:pt idx="7">
                  <c:v>5.5231187467777269E-3</c:v>
                </c:pt>
                <c:pt idx="8">
                  <c:v>2.1247085760454207E-4</c:v>
                </c:pt>
                <c:pt idx="9">
                  <c:v>1.2888212049369085E-3</c:v>
                </c:pt>
                <c:pt idx="10">
                  <c:v>3.1160138256380237E-2</c:v>
                </c:pt>
                <c:pt idx="11">
                  <c:v>0.10979816248721068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39-40CA-B39B-21AB8D9C40AF}"/>
            </c:ext>
          </c:extLst>
        </c:ser>
        <c:ser>
          <c:idx val="2"/>
          <c:order val="2"/>
          <c:tx>
            <c:strRef>
              <c:f>Rentabilita!$B$5</c:f>
              <c:strCache>
                <c:ptCount val="1"/>
                <c:pt idx="0">
                  <c:v>EBIT / Aktiva (ROA)</c:v>
                </c:pt>
              </c:strCache>
            </c:strRef>
          </c:tx>
          <c:invertIfNegative val="0"/>
          <c:cat>
            <c:numRef>
              <c:f>Rentabilita!$C$2:$T$2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Rentabilita!$C$5:$T$5</c:f>
              <c:numCache>
                <c:formatCode>0.0%</c:formatCode>
                <c:ptCount val="12"/>
                <c:pt idx="0">
                  <c:v>0.1234712210713988</c:v>
                </c:pt>
                <c:pt idx="1">
                  <c:v>0.12922352224684452</c:v>
                </c:pt>
                <c:pt idx="2">
                  <c:v>0.13085432205121786</c:v>
                </c:pt>
                <c:pt idx="3">
                  <c:v>4.8341109520092448E-2</c:v>
                </c:pt>
                <c:pt idx="4">
                  <c:v>2.5292010241528218E-2</c:v>
                </c:pt>
                <c:pt idx="5">
                  <c:v>6.8732854546379868E-2</c:v>
                </c:pt>
                <c:pt idx="6">
                  <c:v>9.976227100632569E-2</c:v>
                </c:pt>
                <c:pt idx="7">
                  <c:v>6.5563041966708287E-3</c:v>
                </c:pt>
                <c:pt idx="8">
                  <c:v>1.3788934140981605E-3</c:v>
                </c:pt>
                <c:pt idx="9">
                  <c:v>5.4150185264196619E-3</c:v>
                </c:pt>
                <c:pt idx="10">
                  <c:v>2.5759139060789447E-2</c:v>
                </c:pt>
                <c:pt idx="11">
                  <c:v>7.5562547019790011E-2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39-40CA-B39B-21AB8D9C40AF}"/>
            </c:ext>
          </c:extLst>
        </c:ser>
        <c:ser>
          <c:idx val="3"/>
          <c:order val="3"/>
          <c:tx>
            <c:strRef>
              <c:f>Rentabilita!$B$6</c:f>
              <c:strCache>
                <c:ptCount val="1"/>
                <c:pt idx="0">
                  <c:v>Rentabilita cizího kapitálu</c:v>
                </c:pt>
              </c:strCache>
            </c:strRef>
          </c:tx>
          <c:invertIfNegative val="0"/>
          <c:cat>
            <c:numRef>
              <c:f>Rentabilita!$C$2:$T$2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Rentabilita!$C$6:$T$6</c:f>
              <c:numCache>
                <c:formatCode>0.0%</c:formatCode>
                <c:ptCount val="12"/>
                <c:pt idx="0">
                  <c:v>0.17929686097036593</c:v>
                </c:pt>
                <c:pt idx="1">
                  <c:v>0.2157210339093249</c:v>
                </c:pt>
                <c:pt idx="2">
                  <c:v>0.21415285330196382</c:v>
                </c:pt>
                <c:pt idx="3">
                  <c:v>7.1498069267935449E-2</c:v>
                </c:pt>
                <c:pt idx="4">
                  <c:v>3.6399979118553673E-2</c:v>
                </c:pt>
                <c:pt idx="5">
                  <c:v>0.13485481433708893</c:v>
                </c:pt>
                <c:pt idx="6">
                  <c:v>0.28306197544243178</c:v>
                </c:pt>
                <c:pt idx="7">
                  <c:v>2.3368380684832504E-2</c:v>
                </c:pt>
                <c:pt idx="8">
                  <c:v>1.9298179430859207E-4</c:v>
                </c:pt>
                <c:pt idx="9">
                  <c:v>1.2366165983962926E-3</c:v>
                </c:pt>
                <c:pt idx="10">
                  <c:v>4.2692156545508529E-2</c:v>
                </c:pt>
                <c:pt idx="11">
                  <c:v>0.21622533143539324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39-40CA-B39B-21AB8D9C40AF}"/>
            </c:ext>
          </c:extLst>
        </c:ser>
        <c:ser>
          <c:idx val="4"/>
          <c:order val="4"/>
          <c:tx>
            <c:strRef>
              <c:f>Rentabilita!$B$7</c:f>
              <c:strCache>
                <c:ptCount val="1"/>
                <c:pt idx="0">
                  <c:v>Rentabilita pracovního kapitálu</c:v>
                </c:pt>
              </c:strCache>
            </c:strRef>
          </c:tx>
          <c:invertIfNegative val="0"/>
          <c:cat>
            <c:numRef>
              <c:f>Rentabilita!$C$2:$T$2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Rentabilita!$C$7:$T$7</c:f>
              <c:numCache>
                <c:formatCode>0.0%</c:formatCode>
                <c:ptCount val="12"/>
                <c:pt idx="0">
                  <c:v>-2.833056690021388</c:v>
                </c:pt>
                <c:pt idx="1">
                  <c:v>-1.2938202599887918</c:v>
                </c:pt>
                <c:pt idx="2">
                  <c:v>10.324229012633667</c:v>
                </c:pt>
                <c:pt idx="3">
                  <c:v>1.7855790962746789</c:v>
                </c:pt>
                <c:pt idx="4">
                  <c:v>0.43183744229959703</c:v>
                </c:pt>
                <c:pt idx="5">
                  <c:v>0.25238119083617927</c:v>
                </c:pt>
                <c:pt idx="6">
                  <c:v>0.27922695394691122</c:v>
                </c:pt>
                <c:pt idx="7">
                  <c:v>1.3102393767086565E-2</c:v>
                </c:pt>
                <c:pt idx="8">
                  <c:v>7.0539570437874114E-4</c:v>
                </c:pt>
                <c:pt idx="9">
                  <c:v>3.497417881242252E-3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39-40CA-B39B-21AB8D9C4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2148608"/>
        <c:axId val="152154496"/>
      </c:barChart>
      <c:catAx>
        <c:axId val="15214860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s-CZ"/>
          </a:p>
        </c:txPr>
        <c:crossAx val="1521544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2154496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s-CZ"/>
          </a:p>
        </c:txPr>
        <c:crossAx val="15214860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2233179590415229E-2"/>
          <c:y val="0.84158693034657794"/>
          <c:w val="0.88187838170713906"/>
          <c:h val="0.1353138778444774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155" r="0.75000000000000155" t="1" header="0.49212598450000072" footer="0.4921259845000007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23452768729664"/>
          <c:y val="0.11682269645949653"/>
          <c:w val="0.87003250831060519"/>
          <c:h val="0.71997627194107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Likvidita!$B$13</c:f>
              <c:strCache>
                <c:ptCount val="1"/>
                <c:pt idx="0">
                  <c:v>Čistý pracovní kapitál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Likvidita!$C$12:$T$12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Likvidita!$C$13:$T$13</c:f>
              <c:numCache>
                <c:formatCode>#,##0</c:formatCode>
                <c:ptCount val="12"/>
                <c:pt idx="0">
                  <c:v>-6245.2079099999828</c:v>
                </c:pt>
                <c:pt idx="1">
                  <c:v>-15566.092720000001</c:v>
                </c:pt>
                <c:pt idx="2">
                  <c:v>2660.1739399999933</c:v>
                </c:pt>
                <c:pt idx="3">
                  <c:v>6317.1354399999982</c:v>
                </c:pt>
                <c:pt idx="4">
                  <c:v>11870.844600000011</c:v>
                </c:pt>
                <c:pt idx="5">
                  <c:v>56424.289039999981</c:v>
                </c:pt>
                <c:pt idx="6">
                  <c:v>60240.034360000012</c:v>
                </c:pt>
                <c:pt idx="7">
                  <c:v>63674.923439999999</c:v>
                </c:pt>
                <c:pt idx="8">
                  <c:v>45508.59865</c:v>
                </c:pt>
                <c:pt idx="9">
                  <c:v>55748.365399999995</c:v>
                </c:pt>
                <c:pt idx="10">
                  <c:v>77363.112209999992</c:v>
                </c:pt>
                <c:pt idx="11">
                  <c:v>61114.902069999996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CF-40AA-A22C-F0FE4CA7568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2068480"/>
        <c:axId val="152070016"/>
      </c:barChart>
      <c:catAx>
        <c:axId val="15206848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s-CZ"/>
          </a:p>
        </c:txPr>
        <c:crossAx val="152070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207001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s-CZ"/>
          </a:p>
        </c:txPr>
        <c:crossAx val="15206848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155" r="0.75000000000000155" t="1" header="0.49212598450000072" footer="0.4921259845000007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675383867840561E-2"/>
          <c:y val="8.4745902982493626E-2"/>
          <c:w val="0.90259811805476842"/>
          <c:h val="0.63389935430905042"/>
        </c:manualLayout>
      </c:layout>
      <c:lineChart>
        <c:grouping val="standard"/>
        <c:varyColors val="0"/>
        <c:ser>
          <c:idx val="0"/>
          <c:order val="0"/>
          <c:tx>
            <c:strRef>
              <c:f>Likvidita!$B$32</c:f>
              <c:strCache>
                <c:ptCount val="1"/>
                <c:pt idx="0">
                  <c:v>Likvidita 1. stupně (pohotová likvidita, cash ratio)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Likvidita!$D$31:$T$31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Likvidita!$D$32:$T$32</c:f>
              <c:numCache>
                <c:formatCode>#,##0.00</c:formatCode>
                <c:ptCount val="12"/>
                <c:pt idx="0">
                  <c:v>0.11368844247235223</c:v>
                </c:pt>
                <c:pt idx="1">
                  <c:v>0.14439562402368103</c:v>
                </c:pt>
                <c:pt idx="2">
                  <c:v>0.15429752761107746</c:v>
                </c:pt>
                <c:pt idx="3">
                  <c:v>0.20245666336926718</c:v>
                </c:pt>
                <c:pt idx="4">
                  <c:v>0.26248244556095179</c:v>
                </c:pt>
                <c:pt idx="5">
                  <c:v>0.40349879060117644</c:v>
                </c:pt>
                <c:pt idx="6">
                  <c:v>0.94773437162570551</c:v>
                </c:pt>
                <c:pt idx="7">
                  <c:v>0.97339973213044506</c:v>
                </c:pt>
                <c:pt idx="8">
                  <c:v>0.65440516091011314</c:v>
                </c:pt>
                <c:pt idx="9">
                  <c:v>0.53401628738518325</c:v>
                </c:pt>
                <c:pt idx="10">
                  <c:v>1.4832843450248809</c:v>
                </c:pt>
                <c:pt idx="11">
                  <c:v>1.667595961206717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60-4182-BDBC-F19FAD1B0BE0}"/>
            </c:ext>
          </c:extLst>
        </c:ser>
        <c:ser>
          <c:idx val="1"/>
          <c:order val="1"/>
          <c:tx>
            <c:strRef>
              <c:f>Likvidita!$B$33</c:f>
              <c:strCache>
                <c:ptCount val="1"/>
                <c:pt idx="0">
                  <c:v>Likvidita 2. stupně (rychlá likvidita, quick ratio)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Likvidita!$D$31:$T$31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Likvidita!$D$33:$T$33</c:f>
              <c:numCache>
                <c:formatCode>#,##0.00</c:formatCode>
                <c:ptCount val="12"/>
                <c:pt idx="0">
                  <c:v>0.92287809777229179</c:v>
                </c:pt>
                <c:pt idx="1">
                  <c:v>0.82166241772392667</c:v>
                </c:pt>
                <c:pt idx="2">
                  <c:v>1.0151574716477003</c:v>
                </c:pt>
                <c:pt idx="3">
                  <c:v>1.0509990479880147</c:v>
                </c:pt>
                <c:pt idx="4">
                  <c:v>1.100775590193632</c:v>
                </c:pt>
                <c:pt idx="5">
                  <c:v>1.8408274978551327</c:v>
                </c:pt>
                <c:pt idx="6">
                  <c:v>2.5519524488772296</c:v>
                </c:pt>
                <c:pt idx="7">
                  <c:v>3.1255855946751958</c:v>
                </c:pt>
                <c:pt idx="8">
                  <c:v>1.9567935625032691</c:v>
                </c:pt>
                <c:pt idx="9">
                  <c:v>2.0841074802743536</c:v>
                </c:pt>
                <c:pt idx="10">
                  <c:v>4.3033307160994418</c:v>
                </c:pt>
                <c:pt idx="11">
                  <c:v>5.7521223309753298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2060-4182-BDBC-F19FAD1B0BE0}"/>
            </c:ext>
          </c:extLst>
        </c:ser>
        <c:ser>
          <c:idx val="2"/>
          <c:order val="2"/>
          <c:tx>
            <c:strRef>
              <c:f>Likvidita!$B$34</c:f>
              <c:strCache>
                <c:ptCount val="1"/>
                <c:pt idx="0">
                  <c:v>Likvidita 3. stupně (běžná likvidita, current ratio)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Likvidita!$D$31:$T$31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Likvidita!$D$34:$T$34</c:f>
              <c:numCache>
                <c:formatCode>#,##0.00</c:formatCode>
                <c:ptCount val="12"/>
                <c:pt idx="0">
                  <c:v>0.92990924316153212</c:v>
                </c:pt>
                <c:pt idx="1">
                  <c:v>0.82991292417468265</c:v>
                </c:pt>
                <c:pt idx="2">
                  <c:v>1.029634676759273</c:v>
                </c:pt>
                <c:pt idx="3">
                  <c:v>1.081871106151453</c:v>
                </c:pt>
                <c:pt idx="4">
                  <c:v>1.1243532328154764</c:v>
                </c:pt>
                <c:pt idx="5">
                  <c:v>1.8801223614386453</c:v>
                </c:pt>
                <c:pt idx="6">
                  <c:v>2.6214792638141655</c:v>
                </c:pt>
                <c:pt idx="7">
                  <c:v>3.2050511511499047</c:v>
                </c:pt>
                <c:pt idx="8">
                  <c:v>2.0135560056295563</c:v>
                </c:pt>
                <c:pt idx="9">
                  <c:v>2.1368214014196156</c:v>
                </c:pt>
                <c:pt idx="10">
                  <c:v>4.4047337413198306</c:v>
                </c:pt>
                <c:pt idx="11">
                  <c:v>5.8186809621922864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60-4182-BDBC-F19FAD1B0B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182784"/>
        <c:axId val="152184320"/>
      </c:lineChart>
      <c:catAx>
        <c:axId val="15218278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s-CZ"/>
          </a:p>
        </c:txPr>
        <c:crossAx val="152184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2184320"/>
        <c:scaling>
          <c:orientation val="minMax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s-CZ"/>
          </a:p>
        </c:txPr>
        <c:crossAx val="15218278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0909090909091064E-2"/>
          <c:y val="0.84745905066951654"/>
          <c:w val="0.87013055186283528"/>
          <c:h val="0.13220374571822591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155" r="0.75000000000000155" t="1" header="0.49212598450000072" footer="0.4921259845000007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38969789159009"/>
          <c:y val="8.2508516748261998E-2"/>
          <c:w val="0.54870173363761165"/>
          <c:h val="0.7821807387735237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Likvidita!$B$64</c:f>
              <c:strCache>
                <c:ptCount val="1"/>
                <c:pt idx="0">
                  <c:v>Materiál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Likvidita!$C$63:$T$63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Likvidita!$C$64:$T$64</c:f>
              <c:numCache>
                <c:formatCode>#,##0</c:formatCode>
                <c:ptCount val="12"/>
                <c:pt idx="0">
                  <c:v>626.48724000000004</c:v>
                </c:pt>
                <c:pt idx="1">
                  <c:v>681.56682999999998</c:v>
                </c:pt>
                <c:pt idx="2">
                  <c:v>1299.5547099999999</c:v>
                </c:pt>
                <c:pt idx="3">
                  <c:v>2382.0732599999997</c:v>
                </c:pt>
                <c:pt idx="4">
                  <c:v>2224.3918799999997</c:v>
                </c:pt>
                <c:pt idx="5">
                  <c:v>2253.31783</c:v>
                </c:pt>
                <c:pt idx="6">
                  <c:v>2358.7883500000003</c:v>
                </c:pt>
                <c:pt idx="7">
                  <c:v>1983.5796699999999</c:v>
                </c:pt>
                <c:pt idx="8">
                  <c:v>2242.377</c:v>
                </c:pt>
                <c:pt idx="9">
                  <c:v>2206.3568100000002</c:v>
                </c:pt>
                <c:pt idx="10">
                  <c:v>1946.25962</c:v>
                </c:pt>
                <c:pt idx="11">
                  <c:v>566.94187999999997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54-4F2E-B410-6176BB7F2E19}"/>
            </c:ext>
          </c:extLst>
        </c:ser>
        <c:ser>
          <c:idx val="1"/>
          <c:order val="1"/>
          <c:tx>
            <c:strRef>
              <c:f>Likvidita!$B$65</c:f>
              <c:strCache>
                <c:ptCount val="1"/>
                <c:pt idx="0">
                  <c:v>Nedokončená výroba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Likvidita!$C$63:$T$63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Likvidita!$C$65:$T$65</c:f>
              <c:numCache>
                <c:formatCode>#,##0</c:formatCode>
                <c:ptCount val="12"/>
                <c:pt idx="0">
                  <c:v>0</c:v>
                </c:pt>
                <c:pt idx="1">
                  <c:v>73.506110000000007</c:v>
                </c:pt>
                <c:pt idx="2">
                  <c:v>0</c:v>
                </c:pt>
                <c:pt idx="3">
                  <c:v>0</c:v>
                </c:pt>
                <c:pt idx="4">
                  <c:v>26.346</c:v>
                </c:pt>
                <c:pt idx="5">
                  <c:v>265.86</c:v>
                </c:pt>
                <c:pt idx="6">
                  <c:v>224.22200000000001</c:v>
                </c:pt>
                <c:pt idx="7">
                  <c:v>311.13499999999999</c:v>
                </c:pt>
                <c:pt idx="8">
                  <c:v>306.25299999999999</c:v>
                </c:pt>
                <c:pt idx="9">
                  <c:v>378.67099999999999</c:v>
                </c:pt>
                <c:pt idx="10">
                  <c:v>357.84232000000003</c:v>
                </c:pt>
                <c:pt idx="11">
                  <c:v>277.21532000000002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54-4F2E-B410-6176BB7F2E19}"/>
            </c:ext>
          </c:extLst>
        </c:ser>
        <c:ser>
          <c:idx val="2"/>
          <c:order val="2"/>
          <c:tx>
            <c:strRef>
              <c:f>Likvidita!$B$66</c:f>
              <c:strCache>
                <c:ptCount val="1"/>
                <c:pt idx="0">
                  <c:v>Výrobky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Likvidita!$C$63:$T$63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Likvidita!$C$66:$T$66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54-4F2E-B410-6176BB7F2E19}"/>
            </c:ext>
          </c:extLst>
        </c:ser>
        <c:ser>
          <c:idx val="3"/>
          <c:order val="3"/>
          <c:tx>
            <c:strRef>
              <c:f>Likvidita!$B$67</c:f>
              <c:strCache>
                <c:ptCount val="1"/>
                <c:pt idx="0">
                  <c:v>Zboží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Likvidita!$C$63:$T$63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Likvidita!$C$67:$T$67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54-4F2E-B410-6176BB7F2E19}"/>
            </c:ext>
          </c:extLst>
        </c:ser>
        <c:ser>
          <c:idx val="4"/>
          <c:order val="4"/>
          <c:tx>
            <c:strRef>
              <c:f>Likvidita!$B$68</c:f>
              <c:strCache>
                <c:ptCount val="1"/>
                <c:pt idx="0">
                  <c:v>Obchodní pohledávky</c:v>
                </c:pt>
              </c:strCache>
            </c:strRef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Likvidita!$C$63:$T$63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Likvidita!$C$68:$T$68</c:f>
              <c:numCache>
                <c:formatCode>#,##0</c:formatCode>
                <c:ptCount val="12"/>
                <c:pt idx="0">
                  <c:v>40.976239999999997</c:v>
                </c:pt>
                <c:pt idx="1">
                  <c:v>29.792200000000001</c:v>
                </c:pt>
                <c:pt idx="2">
                  <c:v>26.578479999999999</c:v>
                </c:pt>
                <c:pt idx="3">
                  <c:v>151.90474</c:v>
                </c:pt>
                <c:pt idx="4">
                  <c:v>51.626519999999999</c:v>
                </c:pt>
                <c:pt idx="5">
                  <c:v>106.57359</c:v>
                </c:pt>
                <c:pt idx="6">
                  <c:v>62.821719999999999</c:v>
                </c:pt>
                <c:pt idx="7">
                  <c:v>139.88104999999999</c:v>
                </c:pt>
                <c:pt idx="8">
                  <c:v>144.42428000000001</c:v>
                </c:pt>
                <c:pt idx="9">
                  <c:v>141.36430999999999</c:v>
                </c:pt>
                <c:pt idx="10">
                  <c:v>192.31034</c:v>
                </c:pt>
                <c:pt idx="11">
                  <c:v>425.56421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54-4F2E-B410-6176BB7F2E19}"/>
            </c:ext>
          </c:extLst>
        </c:ser>
        <c:ser>
          <c:idx val="5"/>
          <c:order val="5"/>
          <c:tx>
            <c:strRef>
              <c:f>Likvidita!$B$69</c:f>
              <c:strCache>
                <c:ptCount val="1"/>
                <c:pt idx="0">
                  <c:v>Účty v bankách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Likvidita!$C$63:$T$63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Likvidita!$C$69:$T$69</c:f>
              <c:numCache>
                <c:formatCode>#,##0</c:formatCode>
                <c:ptCount val="12"/>
                <c:pt idx="0">
                  <c:v>9448.0456599999998</c:v>
                </c:pt>
                <c:pt idx="1">
                  <c:v>11583.99741</c:v>
                </c:pt>
                <c:pt idx="2">
                  <c:v>6200.3860199999999</c:v>
                </c:pt>
                <c:pt idx="3">
                  <c:v>3094.2414900000003</c:v>
                </c:pt>
                <c:pt idx="4">
                  <c:v>3176.7835299999997</c:v>
                </c:pt>
                <c:pt idx="5">
                  <c:v>6632.0704699999997</c:v>
                </c:pt>
                <c:pt idx="6">
                  <c:v>16493.365330000001</c:v>
                </c:pt>
                <c:pt idx="7">
                  <c:v>14775.74424</c:v>
                </c:pt>
                <c:pt idx="8">
                  <c:v>13110.714970000001</c:v>
                </c:pt>
                <c:pt idx="9">
                  <c:v>3542.1400600000002</c:v>
                </c:pt>
                <c:pt idx="10">
                  <c:v>17964.66676</c:v>
                </c:pt>
                <c:pt idx="11">
                  <c:v>14618.043210000002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454-4F2E-B410-6176BB7F2E19}"/>
            </c:ext>
          </c:extLst>
        </c:ser>
        <c:ser>
          <c:idx val="6"/>
          <c:order val="6"/>
          <c:tx>
            <c:strRef>
              <c:f>Likvidita!$B$70</c:f>
              <c:strCache>
                <c:ptCount val="1"/>
                <c:pt idx="0">
                  <c:v>Obchodní závazky</c:v>
                </c:pt>
              </c:strCache>
            </c:strRef>
          </c:tx>
          <c:spPr>
            <a:solidFill>
              <a:srgbClr val="0066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Likvidita!$C$63:$T$63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Likvidita!$C$70:$T$70</c:f>
              <c:numCache>
                <c:formatCode>#,##0</c:formatCode>
                <c:ptCount val="12"/>
                <c:pt idx="0">
                  <c:v>-52412.616459999997</c:v>
                </c:pt>
                <c:pt idx="1">
                  <c:v>-35705.661060000006</c:v>
                </c:pt>
                <c:pt idx="2">
                  <c:v>-44190.813399999999</c:v>
                </c:pt>
                <c:pt idx="3">
                  <c:v>-50249.558270000001</c:v>
                </c:pt>
                <c:pt idx="4">
                  <c:v>-42617.205170000001</c:v>
                </c:pt>
                <c:pt idx="5">
                  <c:v>-41568.106340000006</c:v>
                </c:pt>
                <c:pt idx="6">
                  <c:v>-22217.886920000001</c:v>
                </c:pt>
                <c:pt idx="7">
                  <c:v>-20394.707989999999</c:v>
                </c:pt>
                <c:pt idx="8">
                  <c:v>-24623.069629999998</c:v>
                </c:pt>
                <c:pt idx="9">
                  <c:v>-19161.204659999999</c:v>
                </c:pt>
                <c:pt idx="10">
                  <c:v>-13697.44953</c:v>
                </c:pt>
                <c:pt idx="11">
                  <c:v>-15871.70923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454-4F2E-B410-6176BB7F2E19}"/>
            </c:ext>
          </c:extLst>
        </c:ser>
        <c:ser>
          <c:idx val="7"/>
          <c:order val="7"/>
          <c:tx>
            <c:strRef>
              <c:f>Likvidita!$B$71</c:f>
              <c:strCache>
                <c:ptCount val="1"/>
                <c:pt idx="0">
                  <c:v>Závazky k zaměstnancům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Likvidita!$C$63:$T$63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Likvidita!$C$71:$T$71</c:f>
              <c:numCache>
                <c:formatCode>#,##0</c:formatCode>
                <c:ptCount val="12"/>
                <c:pt idx="0">
                  <c:v>-5535.8729999999996</c:v>
                </c:pt>
                <c:pt idx="1">
                  <c:v>-6047.45</c:v>
                </c:pt>
                <c:pt idx="2">
                  <c:v>-6827.634</c:v>
                </c:pt>
                <c:pt idx="3">
                  <c:v>-8095.9551100000008</c:v>
                </c:pt>
                <c:pt idx="4">
                  <c:v>-7529.6861900000004</c:v>
                </c:pt>
                <c:pt idx="5">
                  <c:v>-9246.75</c:v>
                </c:pt>
                <c:pt idx="6">
                  <c:v>-10584.589599999999</c:v>
                </c:pt>
                <c:pt idx="7">
                  <c:v>-6459.9522999999999</c:v>
                </c:pt>
                <c:pt idx="8">
                  <c:v>-8652.2776699999995</c:v>
                </c:pt>
                <c:pt idx="9">
                  <c:v>-7329.9772499999999</c:v>
                </c:pt>
                <c:pt idx="10">
                  <c:v>-4705.5093499999994</c:v>
                </c:pt>
                <c:pt idx="11">
                  <c:v>3565.5066499999998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454-4F2E-B410-6176BB7F2E19}"/>
            </c:ext>
          </c:extLst>
        </c:ser>
        <c:ser>
          <c:idx val="8"/>
          <c:order val="8"/>
          <c:tx>
            <c:strRef>
              <c:f>Likvidita!$B$72</c:f>
              <c:strCache>
                <c:ptCount val="1"/>
                <c:pt idx="0">
                  <c:v>Závazky ze sociálního zabezpečení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Likvidita!$C$63:$T$63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Likvidita!$C$72:$T$72</c:f>
              <c:numCache>
                <c:formatCode>#,##0</c:formatCode>
                <c:ptCount val="12"/>
                <c:pt idx="0">
                  <c:v>-880.71500000000003</c:v>
                </c:pt>
                <c:pt idx="1">
                  <c:v>-990.22299999999996</c:v>
                </c:pt>
                <c:pt idx="2">
                  <c:v>-1049.2249999999999</c:v>
                </c:pt>
                <c:pt idx="3">
                  <c:v>-1041.4165800000001</c:v>
                </c:pt>
                <c:pt idx="4">
                  <c:v>-963.68790000000001</c:v>
                </c:pt>
                <c:pt idx="5">
                  <c:v>-1156.7473799999998</c:v>
                </c:pt>
                <c:pt idx="6">
                  <c:v>-1201.32051</c:v>
                </c:pt>
                <c:pt idx="7">
                  <c:v>-1264.3653100000001</c:v>
                </c:pt>
                <c:pt idx="8">
                  <c:v>-2120.2015099999999</c:v>
                </c:pt>
                <c:pt idx="9">
                  <c:v>-1580.45543</c:v>
                </c:pt>
                <c:pt idx="10">
                  <c:v>-1537.8912800000001</c:v>
                </c:pt>
                <c:pt idx="11">
                  <c:v>-6.2232799999999999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454-4F2E-B410-6176BB7F2E19}"/>
            </c:ext>
          </c:extLst>
        </c:ser>
        <c:ser>
          <c:idx val="9"/>
          <c:order val="9"/>
          <c:tx>
            <c:strRef>
              <c:f>Likvidita!$B$73</c:f>
              <c:strCache>
                <c:ptCount val="1"/>
                <c:pt idx="0">
                  <c:v>Stát - daňové závazky a dotace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Likvidita!$C$63:$T$63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Likvidita!$C$73:$T$73</c:f>
              <c:numCache>
                <c:formatCode>#,##0</c:formatCode>
                <c:ptCount val="12"/>
                <c:pt idx="0">
                  <c:v>-1307.82547</c:v>
                </c:pt>
                <c:pt idx="1">
                  <c:v>-7170.2957200000001</c:v>
                </c:pt>
                <c:pt idx="2">
                  <c:v>-7482.4297800000004</c:v>
                </c:pt>
                <c:pt idx="3">
                  <c:v>-3604.2828</c:v>
                </c:pt>
                <c:pt idx="4">
                  <c:v>-3674.3837999999996</c:v>
                </c:pt>
                <c:pt idx="5">
                  <c:v>-5953.4831699999995</c:v>
                </c:pt>
                <c:pt idx="6">
                  <c:v>-2951.3467799999999</c:v>
                </c:pt>
                <c:pt idx="7">
                  <c:v>-577.91481999999996</c:v>
                </c:pt>
                <c:pt idx="8">
                  <c:v>-677.60307</c:v>
                </c:pt>
                <c:pt idx="9">
                  <c:v>-292.30170000000004</c:v>
                </c:pt>
                <c:pt idx="10">
                  <c:v>-2718.1107499999998</c:v>
                </c:pt>
                <c:pt idx="11">
                  <c:v>-438.45956000000001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454-4F2E-B410-6176BB7F2E19}"/>
            </c:ext>
          </c:extLst>
        </c:ser>
        <c:ser>
          <c:idx val="10"/>
          <c:order val="10"/>
          <c:tx>
            <c:strRef>
              <c:f>Likvidita!$B$74</c:f>
              <c:strCache>
                <c:ptCount val="1"/>
                <c:pt idx="0">
                  <c:v>Běžné bankovní úvěry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Likvidita!$C$63:$T$63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Likvidita!$C$74:$T$74</c:f>
              <c:numCache>
                <c:formatCode>#,##0</c:formatCode>
                <c:ptCount val="12"/>
                <c:pt idx="0">
                  <c:v>-28786.62715</c:v>
                </c:pt>
                <c:pt idx="1">
                  <c:v>-37428.929939999995</c:v>
                </c:pt>
                <c:pt idx="2">
                  <c:v>-28376.25</c:v>
                </c:pt>
                <c:pt idx="3">
                  <c:v>-13768.38307</c:v>
                </c:pt>
                <c:pt idx="4">
                  <c:v>-26449.34174</c:v>
                </c:pt>
                <c:pt idx="5">
                  <c:v>-6062.2428799999998</c:v>
                </c:pt>
                <c:pt idx="6">
                  <c:v>0</c:v>
                </c:pt>
                <c:pt idx="7">
                  <c:v>0</c:v>
                </c:pt>
                <c:pt idx="8">
                  <c:v>-8701</c:v>
                </c:pt>
                <c:pt idx="9">
                  <c:v>-20616.784050000002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454-4F2E-B410-6176BB7F2E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3420544"/>
        <c:axId val="153422080"/>
      </c:barChart>
      <c:catAx>
        <c:axId val="15342054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534220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4220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5342054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7694856324777852"/>
          <c:y val="0.12871321777847111"/>
          <c:w val="0.31006510549817634"/>
          <c:h val="0.6930713858787453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1" l="0.75000000000000155" r="0.75000000000000155" t="1" header="0.49212598450000072" footer="0.4921259845000007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21152567100776"/>
          <c:y val="0.16376367523595967"/>
          <c:w val="0.86851966133840064"/>
          <c:h val="0.72678491504351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'Doplňkové ukazatele'!$B$17</c:f>
              <c:strCache>
                <c:ptCount val="1"/>
                <c:pt idx="0">
                  <c:v>Celková zadluženost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'Doplňkové ukazatele'!$C$16:$T$16</c:f>
              <c:numCache>
                <c:formatCode>0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'Doplňkové ukazatele'!$C$17:$T$17</c:f>
              <c:numCache>
                <c:formatCode>0.00%</c:formatCode>
                <c:ptCount val="12"/>
                <c:pt idx="0">
                  <c:v>0.54261061296849633</c:v>
                </c:pt>
                <c:pt idx="1">
                  <c:v>0.47460268725952159</c:v>
                </c:pt>
                <c:pt idx="2">
                  <c:v>0.48392059762995948</c:v>
                </c:pt>
                <c:pt idx="3">
                  <c:v>0.51582450145543091</c:v>
                </c:pt>
                <c:pt idx="4">
                  <c:v>0.50216755576465655</c:v>
                </c:pt>
                <c:pt idx="5">
                  <c:v>0.3992157426485502</c:v>
                </c:pt>
                <c:pt idx="6">
                  <c:v>0.27661819688416361</c:v>
                </c:pt>
                <c:pt idx="7">
                  <c:v>0.19010137255977977</c:v>
                </c:pt>
                <c:pt idx="8">
                  <c:v>0.52228843261196944</c:v>
                </c:pt>
                <c:pt idx="9">
                  <c:v>0.50816591942460132</c:v>
                </c:pt>
                <c:pt idx="10">
                  <c:v>0.41930423090051455</c:v>
                </c:pt>
                <c:pt idx="11">
                  <c:v>0.33678133760739121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D1-423A-AA0D-F7100DBDDA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900736"/>
        <c:axId val="154902528"/>
      </c:barChart>
      <c:catAx>
        <c:axId val="15490073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s-CZ"/>
          </a:p>
        </c:txPr>
        <c:crossAx val="1549025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4902528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s-CZ"/>
          </a:p>
        </c:txPr>
        <c:crossAx val="154900736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 alignWithMargins="0"/>
    <c:pageMargins b="1" l="0.75000000000000155" r="0.75000000000000155" t="1" header="0.49212598450000072" footer="0.4921259845000007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47624</xdr:colOff>
      <xdr:row>52</xdr:row>
      <xdr:rowOff>85724</xdr:rowOff>
    </xdr:from>
    <xdr:to>
      <xdr:col>21</xdr:col>
      <xdr:colOff>13606</xdr:colOff>
      <xdr:row>66</xdr:row>
      <xdr:rowOff>40821</xdr:rowOff>
    </xdr:to>
    <xdr:graphicFrame macro="">
      <xdr:nvGraphicFramePr>
        <xdr:cNvPr id="13319" name="Chart 2">
          <a:extLst>
            <a:ext uri="{FF2B5EF4-FFF2-40B4-BE49-F238E27FC236}">
              <a16:creationId xmlns:a16="http://schemas.microsoft.com/office/drawing/2014/main" id="{00000000-0008-0000-0200-0000073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132669</xdr:colOff>
      <xdr:row>25</xdr:row>
      <xdr:rowOff>84363</xdr:rowOff>
    </xdr:from>
    <xdr:to>
      <xdr:col>19</xdr:col>
      <xdr:colOff>415018</xdr:colOff>
      <xdr:row>46</xdr:row>
      <xdr:rowOff>911679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6270E38-C92E-171C-6D88-7139A5D01F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38099</xdr:colOff>
      <xdr:row>22</xdr:row>
      <xdr:rowOff>19050</xdr:rowOff>
    </xdr:from>
    <xdr:to>
      <xdr:col>20</xdr:col>
      <xdr:colOff>19050</xdr:colOff>
      <xdr:row>39</xdr:row>
      <xdr:rowOff>958850</xdr:rowOff>
    </xdr:to>
    <xdr:graphicFrame macro="">
      <xdr:nvGraphicFramePr>
        <xdr:cNvPr id="15365" name="Chart 1">
          <a:extLst>
            <a:ext uri="{FF2B5EF4-FFF2-40B4-BE49-F238E27FC236}">
              <a16:creationId xmlns:a16="http://schemas.microsoft.com/office/drawing/2014/main" id="{00000000-0008-0000-0300-000005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47623</xdr:colOff>
      <xdr:row>58</xdr:row>
      <xdr:rowOff>111125</xdr:rowOff>
    </xdr:from>
    <xdr:to>
      <xdr:col>20</xdr:col>
      <xdr:colOff>12700</xdr:colOff>
      <xdr:row>77</xdr:row>
      <xdr:rowOff>717550</xdr:rowOff>
    </xdr:to>
    <xdr:graphicFrame macro="">
      <xdr:nvGraphicFramePr>
        <xdr:cNvPr id="15366" name="Chart 2">
          <a:extLst>
            <a:ext uri="{FF2B5EF4-FFF2-40B4-BE49-F238E27FC236}">
              <a16:creationId xmlns:a16="http://schemas.microsoft.com/office/drawing/2014/main" id="{00000000-0008-0000-0300-000006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47624</xdr:colOff>
      <xdr:row>8</xdr:row>
      <xdr:rowOff>66674</xdr:rowOff>
    </xdr:from>
    <xdr:to>
      <xdr:col>20</xdr:col>
      <xdr:colOff>25400</xdr:colOff>
      <xdr:row>29</xdr:row>
      <xdr:rowOff>849923</xdr:rowOff>
    </xdr:to>
    <xdr:graphicFrame macro="">
      <xdr:nvGraphicFramePr>
        <xdr:cNvPr id="17411" name="Chart 1">
          <a:extLst>
            <a:ext uri="{FF2B5EF4-FFF2-40B4-BE49-F238E27FC236}">
              <a16:creationId xmlns:a16="http://schemas.microsoft.com/office/drawing/2014/main" id="{00000000-0008-0000-0400-0000034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34018</xdr:colOff>
      <xdr:row>13</xdr:row>
      <xdr:rowOff>76199</xdr:rowOff>
    </xdr:from>
    <xdr:to>
      <xdr:col>20</xdr:col>
      <xdr:colOff>38100</xdr:colOff>
      <xdr:row>29</xdr:row>
      <xdr:rowOff>571500</xdr:rowOff>
    </xdr:to>
    <xdr:graphicFrame macro="">
      <xdr:nvGraphicFramePr>
        <xdr:cNvPr id="16391" name="Chart 1">
          <a:extLst>
            <a:ext uri="{FF2B5EF4-FFF2-40B4-BE49-F238E27FC236}">
              <a16:creationId xmlns:a16="http://schemas.microsoft.com/office/drawing/2014/main" id="{00000000-0008-0000-0500-000007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47624</xdr:colOff>
      <xdr:row>37</xdr:row>
      <xdr:rowOff>28576</xdr:rowOff>
    </xdr:from>
    <xdr:to>
      <xdr:col>20</xdr:col>
      <xdr:colOff>69850</xdr:colOff>
      <xdr:row>57</xdr:row>
      <xdr:rowOff>558800</xdr:rowOff>
    </xdr:to>
    <xdr:graphicFrame macro="">
      <xdr:nvGraphicFramePr>
        <xdr:cNvPr id="16392" name="Chart 2">
          <a:extLst>
            <a:ext uri="{FF2B5EF4-FFF2-40B4-BE49-F238E27FC236}">
              <a16:creationId xmlns:a16="http://schemas.microsoft.com/office/drawing/2014/main" id="{00000000-0008-0000-0500-000008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57148</xdr:colOff>
      <xdr:row>75</xdr:row>
      <xdr:rowOff>38101</xdr:rowOff>
    </xdr:from>
    <xdr:to>
      <xdr:col>20</xdr:col>
      <xdr:colOff>76200</xdr:colOff>
      <xdr:row>99</xdr:row>
      <xdr:rowOff>27215</xdr:rowOff>
    </xdr:to>
    <xdr:graphicFrame macro="">
      <xdr:nvGraphicFramePr>
        <xdr:cNvPr id="16393" name="Chart 3">
          <a:extLst>
            <a:ext uri="{FF2B5EF4-FFF2-40B4-BE49-F238E27FC236}">
              <a16:creationId xmlns:a16="http://schemas.microsoft.com/office/drawing/2014/main" id="{00000000-0008-0000-0500-000009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55560</xdr:colOff>
      <xdr:row>17</xdr:row>
      <xdr:rowOff>103185</xdr:rowOff>
    </xdr:from>
    <xdr:to>
      <xdr:col>20</xdr:col>
      <xdr:colOff>26275</xdr:colOff>
      <xdr:row>36</xdr:row>
      <xdr:rowOff>7938</xdr:rowOff>
    </xdr:to>
    <xdr:graphicFrame macro="">
      <xdr:nvGraphicFramePr>
        <xdr:cNvPr id="20485" name="Chart 1">
          <a:extLst>
            <a:ext uri="{FF2B5EF4-FFF2-40B4-BE49-F238E27FC236}">
              <a16:creationId xmlns:a16="http://schemas.microsoft.com/office/drawing/2014/main" id="{00000000-0008-0000-0600-000005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175759</xdr:colOff>
      <xdr:row>62</xdr:row>
      <xdr:rowOff>46490</xdr:rowOff>
    </xdr:from>
    <xdr:to>
      <xdr:col>19</xdr:col>
      <xdr:colOff>264432</xdr:colOff>
      <xdr:row>82</xdr:row>
      <xdr:rowOff>98770</xdr:rowOff>
    </xdr:to>
    <xdr:graphicFrame macro="">
      <xdr:nvGraphicFramePr>
        <xdr:cNvPr id="20486" name="Chart 2">
          <a:extLst>
            <a:ext uri="{FF2B5EF4-FFF2-40B4-BE49-F238E27FC236}">
              <a16:creationId xmlns:a16="http://schemas.microsoft.com/office/drawing/2014/main" id="{00000000-0008-0000-0600-000006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79374</xdr:colOff>
      <xdr:row>41</xdr:row>
      <xdr:rowOff>39687</xdr:rowOff>
    </xdr:from>
    <xdr:to>
      <xdr:col>20</xdr:col>
      <xdr:colOff>26276</xdr:colOff>
      <xdr:row>58</xdr:row>
      <xdr:rowOff>249619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19048</xdr:colOff>
      <xdr:row>15</xdr:row>
      <xdr:rowOff>9524</xdr:rowOff>
    </xdr:from>
    <xdr:to>
      <xdr:col>19</xdr:col>
      <xdr:colOff>0</xdr:colOff>
      <xdr:row>31</xdr:row>
      <xdr:rowOff>55563</xdr:rowOff>
    </xdr:to>
    <xdr:graphicFrame macro="">
      <xdr:nvGraphicFramePr>
        <xdr:cNvPr id="19461" name="Chart 1">
          <a:extLst>
            <a:ext uri="{FF2B5EF4-FFF2-40B4-BE49-F238E27FC236}">
              <a16:creationId xmlns:a16="http://schemas.microsoft.com/office/drawing/2014/main" id="{00000000-0008-0000-0700-0000054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47624</xdr:colOff>
      <xdr:row>37</xdr:row>
      <xdr:rowOff>38100</xdr:rowOff>
    </xdr:from>
    <xdr:to>
      <xdr:col>19</xdr:col>
      <xdr:colOff>31750</xdr:colOff>
      <xdr:row>62</xdr:row>
      <xdr:rowOff>47625</xdr:rowOff>
    </xdr:to>
    <xdr:graphicFrame macro="">
      <xdr:nvGraphicFramePr>
        <xdr:cNvPr id="19462" name="Chart 2">
          <a:extLst>
            <a:ext uri="{FF2B5EF4-FFF2-40B4-BE49-F238E27FC236}">
              <a16:creationId xmlns:a16="http://schemas.microsoft.com/office/drawing/2014/main" id="{00000000-0008-0000-0700-0000064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30162</xdr:colOff>
      <xdr:row>46</xdr:row>
      <xdr:rowOff>52388</xdr:rowOff>
    </xdr:from>
    <xdr:to>
      <xdr:col>20</xdr:col>
      <xdr:colOff>279400</xdr:colOff>
      <xdr:row>76</xdr:row>
      <xdr:rowOff>114300</xdr:rowOff>
    </xdr:to>
    <xdr:graphicFrame macro="">
      <xdr:nvGraphicFramePr>
        <xdr:cNvPr id="18435" name="Chart 1">
          <a:extLst>
            <a:ext uri="{FF2B5EF4-FFF2-40B4-BE49-F238E27FC236}">
              <a16:creationId xmlns:a16="http://schemas.microsoft.com/office/drawing/2014/main" id="{00000000-0008-0000-0800-000003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244"/>
  <sheetViews>
    <sheetView showGridLines="0" tabSelected="1" zoomScaleNormal="100" workbookViewId="0">
      <pane xSplit="3" ySplit="8" topLeftCell="K9" activePane="bottomRight" state="frozen"/>
      <selection pane="topRight" activeCell="D1" sqref="D1"/>
      <selection pane="bottomLeft" activeCell="A9" sqref="A9"/>
      <selection pane="bottomRight" activeCell="U4" sqref="U4"/>
    </sheetView>
  </sheetViews>
  <sheetFormatPr defaultRowHeight="11.25" x14ac:dyDescent="0.2"/>
  <cols>
    <col min="1" max="1" width="8.6640625" style="152" customWidth="1"/>
    <col min="2" max="2" width="40.6640625" style="152" customWidth="1"/>
    <col min="3" max="3" width="12.6640625" style="152" customWidth="1"/>
    <col min="4" max="6" width="16.5" style="152" customWidth="1"/>
    <col min="7" max="7" width="15.33203125" style="152" bestFit="1" customWidth="1"/>
    <col min="8" max="10" width="16.83203125" style="152" bestFit="1" customWidth="1"/>
    <col min="11" max="22" width="20.33203125" style="152" customWidth="1"/>
    <col min="23" max="23" width="9.33203125" style="152"/>
    <col min="24" max="24" width="26.33203125" style="152" customWidth="1"/>
    <col min="25" max="25" width="23.83203125" style="152" customWidth="1"/>
    <col min="26" max="26" width="17.6640625" style="152" customWidth="1"/>
    <col min="27" max="27" width="18.1640625" style="152" customWidth="1"/>
    <col min="28" max="28" width="16.83203125" style="152" bestFit="1" customWidth="1"/>
    <col min="29" max="29" width="15" style="152" bestFit="1" customWidth="1"/>
    <col min="30" max="31" width="16.6640625" style="152" bestFit="1" customWidth="1"/>
    <col min="32" max="32" width="14.5" style="152" bestFit="1" customWidth="1"/>
    <col min="33" max="33" width="14.33203125" style="152" bestFit="1" customWidth="1"/>
    <col min="34" max="16384" width="9.33203125" style="152"/>
  </cols>
  <sheetData>
    <row r="1" spans="1:32" x14ac:dyDescent="0.2">
      <c r="A1" s="152" t="s">
        <v>385</v>
      </c>
      <c r="B1" s="244">
        <v>2007</v>
      </c>
      <c r="O1" s="152" t="s">
        <v>581</v>
      </c>
      <c r="P1" s="152" t="s">
        <v>588</v>
      </c>
      <c r="Q1" s="152" t="s">
        <v>589</v>
      </c>
      <c r="R1" s="152" t="s">
        <v>590</v>
      </c>
      <c r="S1" s="152" t="s">
        <v>597</v>
      </c>
      <c r="T1" s="152" t="s">
        <v>995</v>
      </c>
      <c r="U1" s="152" t="s">
        <v>996</v>
      </c>
    </row>
    <row r="2" spans="1:32" x14ac:dyDescent="0.2">
      <c r="B2" s="155"/>
      <c r="D2" s="156">
        <f>$B$1</f>
        <v>2007</v>
      </c>
      <c r="E2" s="156">
        <f>D2+1</f>
        <v>2008</v>
      </c>
      <c r="F2" s="156">
        <f t="shared" ref="F2" si="0">E2+1</f>
        <v>2009</v>
      </c>
      <c r="G2" s="156">
        <f t="shared" ref="G2" si="1">F2+1</f>
        <v>2010</v>
      </c>
      <c r="H2" s="156">
        <f t="shared" ref="H2" si="2">G2+1</f>
        <v>2011</v>
      </c>
      <c r="I2" s="156">
        <f t="shared" ref="I2:L2" si="3">H2+1</f>
        <v>2012</v>
      </c>
      <c r="J2" s="156">
        <f t="shared" si="3"/>
        <v>2013</v>
      </c>
      <c r="K2" s="156">
        <f t="shared" si="3"/>
        <v>2014</v>
      </c>
      <c r="L2" s="156">
        <f t="shared" si="3"/>
        <v>2015</v>
      </c>
      <c r="M2" s="156">
        <f t="shared" ref="M2" si="4">L2+1</f>
        <v>2016</v>
      </c>
      <c r="N2" s="156">
        <f t="shared" ref="N2" si="5">M2+1</f>
        <v>2017</v>
      </c>
      <c r="O2" s="156">
        <f t="shared" ref="O2:U2" si="6">N2+1</f>
        <v>2018</v>
      </c>
      <c r="P2" s="156">
        <f t="shared" si="6"/>
        <v>2019</v>
      </c>
      <c r="Q2" s="156">
        <f t="shared" si="6"/>
        <v>2020</v>
      </c>
      <c r="R2" s="156">
        <f t="shared" si="6"/>
        <v>2021</v>
      </c>
      <c r="S2" s="156">
        <f t="shared" si="6"/>
        <v>2022</v>
      </c>
      <c r="T2" s="156">
        <f t="shared" si="6"/>
        <v>2023</v>
      </c>
      <c r="U2" s="156">
        <f t="shared" si="6"/>
        <v>2024</v>
      </c>
    </row>
    <row r="3" spans="1:32" x14ac:dyDescent="0.2">
      <c r="B3" s="348" t="s">
        <v>298</v>
      </c>
      <c r="C3" s="348"/>
      <c r="D3" s="150">
        <v>31</v>
      </c>
      <c r="E3" s="150">
        <v>57</v>
      </c>
      <c r="F3" s="150">
        <v>73</v>
      </c>
      <c r="G3" s="150">
        <v>88</v>
      </c>
      <c r="H3" s="150">
        <v>101</v>
      </c>
      <c r="I3" s="150">
        <v>111</v>
      </c>
      <c r="J3" s="150">
        <v>124</v>
      </c>
      <c r="K3" s="150">
        <v>131</v>
      </c>
      <c r="L3" s="150">
        <v>132</v>
      </c>
      <c r="M3" s="150">
        <v>115</v>
      </c>
      <c r="N3" s="150">
        <v>109</v>
      </c>
      <c r="O3" s="150">
        <v>123</v>
      </c>
      <c r="P3" s="150">
        <v>118</v>
      </c>
      <c r="Q3" s="150">
        <v>109</v>
      </c>
      <c r="R3" s="150">
        <v>110</v>
      </c>
      <c r="S3" s="150">
        <v>107</v>
      </c>
      <c r="T3" s="150">
        <v>100</v>
      </c>
      <c r="U3" s="150">
        <v>92</v>
      </c>
      <c r="V3" s="313"/>
    </row>
    <row r="4" spans="1:32" x14ac:dyDescent="0.2">
      <c r="B4" s="155"/>
    </row>
    <row r="5" spans="1:32" x14ac:dyDescent="0.2">
      <c r="B5" s="155"/>
    </row>
    <row r="7" spans="1:32" ht="15" x14ac:dyDescent="0.25">
      <c r="A7" s="154" t="s">
        <v>384</v>
      </c>
      <c r="W7" s="152" t="s">
        <v>591</v>
      </c>
      <c r="AB7" s="358"/>
    </row>
    <row r="8" spans="1:32" ht="12" customHeight="1" x14ac:dyDescent="0.2">
      <c r="A8" s="145" t="s">
        <v>340</v>
      </c>
      <c r="B8" s="145" t="s">
        <v>341</v>
      </c>
      <c r="C8" s="145" t="s">
        <v>342</v>
      </c>
      <c r="D8" s="156">
        <f>$B$1</f>
        <v>2007</v>
      </c>
      <c r="E8" s="156">
        <f>D8+1</f>
        <v>2008</v>
      </c>
      <c r="F8" s="156">
        <f t="shared" ref="F8:M8" si="7">E8+1</f>
        <v>2009</v>
      </c>
      <c r="G8" s="156">
        <f t="shared" si="7"/>
        <v>2010</v>
      </c>
      <c r="H8" s="156">
        <f t="shared" si="7"/>
        <v>2011</v>
      </c>
      <c r="I8" s="156">
        <f t="shared" si="7"/>
        <v>2012</v>
      </c>
      <c r="J8" s="156">
        <f t="shared" si="7"/>
        <v>2013</v>
      </c>
      <c r="K8" s="156">
        <f t="shared" si="7"/>
        <v>2014</v>
      </c>
      <c r="L8" s="156">
        <f t="shared" si="7"/>
        <v>2015</v>
      </c>
      <c r="M8" s="156">
        <f t="shared" si="7"/>
        <v>2016</v>
      </c>
      <c r="N8" s="156">
        <f t="shared" ref="N8" si="8">M8+1</f>
        <v>2017</v>
      </c>
      <c r="O8" s="156">
        <f t="shared" ref="O8:U8" si="9">N8+1</f>
        <v>2018</v>
      </c>
      <c r="P8" s="156">
        <f t="shared" si="9"/>
        <v>2019</v>
      </c>
      <c r="Q8" s="156">
        <f t="shared" si="9"/>
        <v>2020</v>
      </c>
      <c r="R8" s="156">
        <f t="shared" si="9"/>
        <v>2021</v>
      </c>
      <c r="S8" s="156">
        <f t="shared" si="9"/>
        <v>2022</v>
      </c>
      <c r="T8" s="156">
        <f t="shared" si="9"/>
        <v>2023</v>
      </c>
      <c r="U8" s="156">
        <f t="shared" si="9"/>
        <v>2024</v>
      </c>
      <c r="W8" s="328" t="s">
        <v>340</v>
      </c>
      <c r="X8" s="328" t="s">
        <v>341</v>
      </c>
      <c r="Y8" s="328" t="s">
        <v>342</v>
      </c>
      <c r="Z8" s="328" t="s">
        <v>584</v>
      </c>
      <c r="AA8" s="328" t="s">
        <v>585</v>
      </c>
      <c r="AB8" s="357" t="s">
        <v>582</v>
      </c>
      <c r="AC8" s="328" t="s">
        <v>586</v>
      </c>
      <c r="AD8" s="328" t="s">
        <v>587</v>
      </c>
      <c r="AE8" s="328" t="s">
        <v>583</v>
      </c>
    </row>
    <row r="9" spans="1:32" ht="12" x14ac:dyDescent="0.2">
      <c r="A9" s="145" t="s">
        <v>0</v>
      </c>
      <c r="B9" s="145" t="s">
        <v>343</v>
      </c>
      <c r="C9" s="156">
        <v>1</v>
      </c>
      <c r="D9" s="157"/>
      <c r="E9" s="157"/>
      <c r="F9" s="157">
        <v>0</v>
      </c>
      <c r="G9" s="157">
        <v>0</v>
      </c>
      <c r="H9" s="157">
        <v>0</v>
      </c>
      <c r="I9" s="157">
        <v>0</v>
      </c>
      <c r="J9" s="157">
        <v>0</v>
      </c>
      <c r="K9" s="157">
        <v>0</v>
      </c>
      <c r="L9" s="157">
        <v>0</v>
      </c>
      <c r="M9" s="157">
        <v>0</v>
      </c>
      <c r="N9" s="157">
        <v>0</v>
      </c>
      <c r="O9" s="157">
        <v>0</v>
      </c>
      <c r="P9" s="157">
        <v>0</v>
      </c>
      <c r="Q9" s="157">
        <v>0</v>
      </c>
      <c r="R9" s="157">
        <v>0</v>
      </c>
      <c r="S9" s="157">
        <v>0</v>
      </c>
      <c r="T9" s="157">
        <v>0</v>
      </c>
      <c r="U9" s="157">
        <v>0</v>
      </c>
      <c r="V9" s="314"/>
      <c r="W9" s="329" t="s">
        <v>0</v>
      </c>
      <c r="X9" s="330" t="s">
        <v>343</v>
      </c>
      <c r="Y9" s="331">
        <v>1</v>
      </c>
      <c r="Z9" s="332">
        <v>0</v>
      </c>
      <c r="AA9" s="332">
        <v>0</v>
      </c>
      <c r="AB9" s="332">
        <v>0</v>
      </c>
      <c r="AC9" s="332">
        <v>0</v>
      </c>
      <c r="AD9" s="332">
        <v>0</v>
      </c>
      <c r="AE9" s="332">
        <v>0</v>
      </c>
    </row>
    <row r="10" spans="1:32" ht="12" customHeight="1" x14ac:dyDescent="0.2">
      <c r="A10" s="145" t="s">
        <v>2</v>
      </c>
      <c r="B10" s="145" t="s">
        <v>344</v>
      </c>
      <c r="C10" s="156">
        <v>2</v>
      </c>
      <c r="D10" s="157"/>
      <c r="E10" s="157"/>
      <c r="F10" s="157">
        <v>0</v>
      </c>
      <c r="G10" s="157">
        <v>4036.97</v>
      </c>
      <c r="H10" s="157">
        <v>54584.15</v>
      </c>
      <c r="I10" s="157">
        <v>0</v>
      </c>
      <c r="J10" s="157">
        <v>0</v>
      </c>
      <c r="K10" s="157">
        <v>0</v>
      </c>
      <c r="L10" s="157">
        <v>0</v>
      </c>
      <c r="M10" s="157">
        <v>0</v>
      </c>
      <c r="N10" s="157">
        <v>0</v>
      </c>
      <c r="O10" s="157">
        <v>0</v>
      </c>
      <c r="P10" s="157">
        <v>0</v>
      </c>
      <c r="Q10" s="157">
        <v>0</v>
      </c>
      <c r="R10" s="157">
        <v>0</v>
      </c>
      <c r="S10" s="157">
        <v>0</v>
      </c>
      <c r="T10" s="157">
        <v>0</v>
      </c>
      <c r="U10" s="157">
        <v>0</v>
      </c>
      <c r="V10" s="314"/>
      <c r="W10" s="333" t="s">
        <v>2</v>
      </c>
      <c r="X10" s="334" t="s">
        <v>344</v>
      </c>
      <c r="Y10" s="335">
        <v>2</v>
      </c>
      <c r="Z10" s="336">
        <v>0</v>
      </c>
      <c r="AA10" s="336">
        <v>0</v>
      </c>
      <c r="AB10" s="336">
        <v>0</v>
      </c>
      <c r="AC10" s="336">
        <v>0</v>
      </c>
      <c r="AD10" s="336">
        <v>0</v>
      </c>
      <c r="AE10" s="336">
        <v>0</v>
      </c>
    </row>
    <row r="11" spans="1:32" ht="12" x14ac:dyDescent="0.2">
      <c r="A11" s="145" t="s">
        <v>4</v>
      </c>
      <c r="B11" s="145" t="s">
        <v>5</v>
      </c>
      <c r="C11" s="156">
        <v>3</v>
      </c>
      <c r="D11" s="157"/>
      <c r="E11" s="157"/>
      <c r="F11" s="157">
        <v>0</v>
      </c>
      <c r="G11" s="157">
        <v>-4036.97</v>
      </c>
      <c r="H11" s="157">
        <v>-54584.15</v>
      </c>
      <c r="I11" s="157">
        <v>0</v>
      </c>
      <c r="J11" s="157">
        <v>0</v>
      </c>
      <c r="K11" s="157">
        <v>0</v>
      </c>
      <c r="L11" s="157">
        <v>0</v>
      </c>
      <c r="M11" s="157">
        <v>0</v>
      </c>
      <c r="N11" s="157">
        <v>0</v>
      </c>
      <c r="O11" s="157">
        <v>0</v>
      </c>
      <c r="P11" s="157">
        <v>0</v>
      </c>
      <c r="Q11" s="157">
        <v>0</v>
      </c>
      <c r="R11" s="157">
        <v>0</v>
      </c>
      <c r="S11" s="157">
        <v>0</v>
      </c>
      <c r="T11" s="157">
        <v>0</v>
      </c>
      <c r="U11" s="157">
        <v>0</v>
      </c>
      <c r="V11" s="314"/>
      <c r="W11" s="329" t="s">
        <v>4</v>
      </c>
      <c r="X11" s="330" t="s">
        <v>5</v>
      </c>
      <c r="Y11" s="331">
        <v>3</v>
      </c>
      <c r="Z11" s="332">
        <v>0</v>
      </c>
      <c r="AA11" s="332">
        <v>0</v>
      </c>
      <c r="AB11" s="332">
        <v>0</v>
      </c>
      <c r="AC11" s="332">
        <v>0</v>
      </c>
      <c r="AD11" s="332">
        <v>0</v>
      </c>
      <c r="AE11" s="332">
        <v>0</v>
      </c>
    </row>
    <row r="12" spans="1:32" ht="12" x14ac:dyDescent="0.2">
      <c r="A12" s="145" t="s">
        <v>6</v>
      </c>
      <c r="B12" s="145" t="s">
        <v>7</v>
      </c>
      <c r="C12" s="156">
        <v>4</v>
      </c>
      <c r="D12" s="157">
        <v>101675000</v>
      </c>
      <c r="E12" s="157">
        <v>146442000</v>
      </c>
      <c r="F12" s="157">
        <v>181052372.63999999</v>
      </c>
      <c r="G12" s="157">
        <v>224579174.25999999</v>
      </c>
      <c r="H12" s="157">
        <v>312176343.45999998</v>
      </c>
      <c r="I12" s="157">
        <v>352763654.01999998</v>
      </c>
      <c r="J12" s="157">
        <v>395822548.02999997</v>
      </c>
      <c r="K12" s="157">
        <v>416605386.04000002</v>
      </c>
      <c r="L12" s="157">
        <v>443030996.92000002</v>
      </c>
      <c r="M12" s="157">
        <v>406108148.01999998</v>
      </c>
      <c r="N12" s="157">
        <v>403064015.48000002</v>
      </c>
      <c r="O12" s="157">
        <v>385874042.48000002</v>
      </c>
      <c r="P12" s="157">
        <v>389927512.97000003</v>
      </c>
      <c r="Q12" s="157">
        <v>270523631.87</v>
      </c>
      <c r="R12" s="157">
        <v>294613659.86000001</v>
      </c>
      <c r="S12" s="157">
        <v>297953842.55000001</v>
      </c>
      <c r="T12" s="157">
        <v>286345734.36000001</v>
      </c>
      <c r="U12" s="157">
        <v>208824959.81</v>
      </c>
      <c r="V12" s="314"/>
      <c r="W12" s="333" t="s">
        <v>6</v>
      </c>
      <c r="X12" s="334" t="s">
        <v>7</v>
      </c>
      <c r="Y12" s="335">
        <v>4</v>
      </c>
      <c r="Z12" s="336">
        <v>208824959.81</v>
      </c>
      <c r="AA12" s="336">
        <v>0</v>
      </c>
      <c r="AB12" s="336">
        <v>208824959.81</v>
      </c>
      <c r="AC12" s="336">
        <v>286345734.36000001</v>
      </c>
      <c r="AD12" s="336">
        <v>0</v>
      </c>
      <c r="AE12" s="336">
        <v>286345734.36000001</v>
      </c>
      <c r="AF12" s="311"/>
    </row>
    <row r="13" spans="1:32" ht="12" customHeight="1" x14ac:dyDescent="0.2">
      <c r="A13" s="145" t="s">
        <v>345</v>
      </c>
      <c r="B13" s="145" t="s">
        <v>8</v>
      </c>
      <c r="C13" s="156">
        <v>5</v>
      </c>
      <c r="D13" s="157">
        <v>101675000</v>
      </c>
      <c r="E13" s="157">
        <v>146442000</v>
      </c>
      <c r="F13" s="157">
        <v>181052372.63999999</v>
      </c>
      <c r="G13" s="157">
        <v>224579174.25999999</v>
      </c>
      <c r="H13" s="157">
        <v>312176343.45999998</v>
      </c>
      <c r="I13" s="157">
        <v>352763654.01999998</v>
      </c>
      <c r="J13" s="157">
        <v>395822548.02999997</v>
      </c>
      <c r="K13" s="157">
        <v>416531879.93000001</v>
      </c>
      <c r="L13" s="157">
        <v>443104503.02999997</v>
      </c>
      <c r="M13" s="157">
        <v>406108148.01999998</v>
      </c>
      <c r="N13" s="157">
        <v>403064015.48000002</v>
      </c>
      <c r="O13" s="157">
        <v>385874042.48000002</v>
      </c>
      <c r="P13" s="157">
        <v>389927512.97000003</v>
      </c>
      <c r="Q13" s="157">
        <v>270523631.87</v>
      </c>
      <c r="R13" s="157">
        <v>294613659.86000001</v>
      </c>
      <c r="S13" s="157">
        <v>297953842.55000001</v>
      </c>
      <c r="T13" s="157">
        <v>286345734.36000001</v>
      </c>
      <c r="U13" s="157">
        <v>208824959.81</v>
      </c>
      <c r="V13" s="314"/>
      <c r="W13" s="329" t="s">
        <v>345</v>
      </c>
      <c r="X13" s="330" t="s">
        <v>8</v>
      </c>
      <c r="Y13" s="331">
        <v>5</v>
      </c>
      <c r="Z13" s="332">
        <v>208824959.81</v>
      </c>
      <c r="AA13" s="332">
        <v>0</v>
      </c>
      <c r="AB13" s="332">
        <v>208824959.81</v>
      </c>
      <c r="AC13" s="332">
        <v>286345734.36000001</v>
      </c>
      <c r="AD13" s="332">
        <v>0</v>
      </c>
      <c r="AE13" s="332">
        <v>286345734.36000001</v>
      </c>
      <c r="AF13" s="311"/>
    </row>
    <row r="14" spans="1:32" ht="12" customHeight="1" x14ac:dyDescent="0.2">
      <c r="A14" s="145" t="s">
        <v>51</v>
      </c>
      <c r="B14" s="145" t="s">
        <v>166</v>
      </c>
      <c r="C14" s="156">
        <v>6</v>
      </c>
      <c r="D14" s="157"/>
      <c r="E14" s="157"/>
      <c r="F14" s="157">
        <v>0</v>
      </c>
      <c r="G14" s="157">
        <v>0</v>
      </c>
      <c r="H14" s="157">
        <v>0</v>
      </c>
      <c r="I14" s="157">
        <v>0</v>
      </c>
      <c r="J14" s="157">
        <v>0</v>
      </c>
      <c r="K14" s="157">
        <v>73506.11</v>
      </c>
      <c r="L14" s="157">
        <v>-73506.11</v>
      </c>
      <c r="M14" s="157">
        <v>0</v>
      </c>
      <c r="N14" s="157">
        <v>0</v>
      </c>
      <c r="O14" s="157">
        <v>0</v>
      </c>
      <c r="P14" s="157">
        <v>0</v>
      </c>
      <c r="Q14" s="157">
        <v>0</v>
      </c>
      <c r="R14" s="157">
        <v>0</v>
      </c>
      <c r="S14" s="157">
        <v>0</v>
      </c>
      <c r="T14" s="157">
        <v>0</v>
      </c>
      <c r="U14" s="157">
        <v>0</v>
      </c>
      <c r="V14" s="314"/>
      <c r="W14" s="333">
        <v>2</v>
      </c>
      <c r="X14" s="334" t="s">
        <v>166</v>
      </c>
      <c r="Y14" s="335">
        <v>6</v>
      </c>
      <c r="Z14" s="336">
        <v>0</v>
      </c>
      <c r="AA14" s="336">
        <v>0</v>
      </c>
      <c r="AB14" s="336">
        <v>0</v>
      </c>
      <c r="AC14" s="336">
        <v>0</v>
      </c>
      <c r="AD14" s="336">
        <v>0</v>
      </c>
      <c r="AE14" s="336">
        <v>0</v>
      </c>
    </row>
    <row r="15" spans="1:32" ht="12" x14ac:dyDescent="0.2">
      <c r="A15" s="145" t="s">
        <v>52</v>
      </c>
      <c r="B15" s="145" t="s">
        <v>346</v>
      </c>
      <c r="C15" s="156">
        <v>7</v>
      </c>
      <c r="D15" s="157"/>
      <c r="E15" s="157"/>
      <c r="F15" s="157">
        <v>0</v>
      </c>
      <c r="G15" s="157">
        <v>0</v>
      </c>
      <c r="H15" s="157">
        <v>0</v>
      </c>
      <c r="I15" s="157">
        <v>0</v>
      </c>
      <c r="J15" s="157">
        <v>0</v>
      </c>
      <c r="K15" s="157">
        <v>0</v>
      </c>
      <c r="L15" s="157">
        <v>0</v>
      </c>
      <c r="M15" s="157">
        <v>0</v>
      </c>
      <c r="N15" s="157">
        <v>0</v>
      </c>
      <c r="O15" s="157">
        <v>0</v>
      </c>
      <c r="P15" s="157">
        <v>0</v>
      </c>
      <c r="Q15" s="157">
        <v>0</v>
      </c>
      <c r="R15" s="157">
        <v>0</v>
      </c>
      <c r="S15" s="157">
        <v>0</v>
      </c>
      <c r="T15" s="157">
        <v>0</v>
      </c>
      <c r="U15" s="157">
        <v>0</v>
      </c>
      <c r="V15" s="314"/>
      <c r="W15" s="329">
        <v>3</v>
      </c>
      <c r="X15" s="330" t="s">
        <v>346</v>
      </c>
      <c r="Y15" s="331">
        <v>7</v>
      </c>
      <c r="Z15" s="332">
        <v>0</v>
      </c>
      <c r="AA15" s="332">
        <v>0</v>
      </c>
      <c r="AB15" s="332">
        <v>0</v>
      </c>
      <c r="AC15" s="332">
        <v>0</v>
      </c>
      <c r="AD15" s="332">
        <v>0</v>
      </c>
      <c r="AE15" s="332">
        <v>0</v>
      </c>
    </row>
    <row r="16" spans="1:32" ht="12" x14ac:dyDescent="0.2">
      <c r="A16" s="145" t="s">
        <v>10</v>
      </c>
      <c r="B16" s="145" t="s">
        <v>218</v>
      </c>
      <c r="C16" s="156">
        <v>8</v>
      </c>
      <c r="D16" s="157">
        <v>85690000</v>
      </c>
      <c r="E16" s="157">
        <v>120920000</v>
      </c>
      <c r="F16" s="157">
        <v>152103917.80000001</v>
      </c>
      <c r="G16" s="157">
        <v>195572474.55000001</v>
      </c>
      <c r="H16" s="157">
        <v>252097197.28999999</v>
      </c>
      <c r="I16" s="157">
        <v>280876748.57999998</v>
      </c>
      <c r="J16" s="157">
        <v>290577474.52999997</v>
      </c>
      <c r="K16" s="157">
        <v>290247289.22000003</v>
      </c>
      <c r="L16" s="157">
        <v>285510473.18000001</v>
      </c>
      <c r="M16" s="157">
        <v>230184796.05000001</v>
      </c>
      <c r="N16" s="157">
        <v>238225705.71000001</v>
      </c>
      <c r="O16" s="157">
        <v>212034705.91999999</v>
      </c>
      <c r="P16" s="157">
        <v>214394769.12</v>
      </c>
      <c r="Q16" s="157">
        <v>149688669.53999999</v>
      </c>
      <c r="R16" s="157">
        <v>162640601.56</v>
      </c>
      <c r="S16" s="157">
        <v>170309566.78999999</v>
      </c>
      <c r="T16" s="157">
        <v>148165422.18000001</v>
      </c>
      <c r="U16" s="157">
        <v>111233508.12</v>
      </c>
      <c r="V16" s="314"/>
      <c r="W16" s="333" t="s">
        <v>10</v>
      </c>
      <c r="X16" s="334" t="s">
        <v>218</v>
      </c>
      <c r="Y16" s="335">
        <v>8</v>
      </c>
      <c r="Z16" s="336">
        <v>111233508.12</v>
      </c>
      <c r="AA16" s="336">
        <v>0</v>
      </c>
      <c r="AB16" s="336">
        <v>111233508.12</v>
      </c>
      <c r="AC16" s="336">
        <v>148165422.18000001</v>
      </c>
      <c r="AD16" s="336">
        <v>0</v>
      </c>
      <c r="AE16" s="336">
        <v>148165422.18000001</v>
      </c>
      <c r="AF16" s="311"/>
    </row>
    <row r="17" spans="1:32" ht="12" customHeight="1" x14ac:dyDescent="0.2">
      <c r="A17" s="145" t="s">
        <v>347</v>
      </c>
      <c r="B17" s="145" t="s">
        <v>11</v>
      </c>
      <c r="C17" s="156">
        <v>9</v>
      </c>
      <c r="D17" s="157">
        <v>21596000</v>
      </c>
      <c r="E17" s="157">
        <v>33952000</v>
      </c>
      <c r="F17" s="157">
        <v>41002928.450000003</v>
      </c>
      <c r="G17" s="157">
        <v>56786729.43</v>
      </c>
      <c r="H17" s="157">
        <v>78229714.269999996</v>
      </c>
      <c r="I17" s="157">
        <v>109025866.31</v>
      </c>
      <c r="J17" s="157">
        <v>107437271.19</v>
      </c>
      <c r="K17" s="157">
        <v>103250172.37</v>
      </c>
      <c r="L17" s="157">
        <v>83850685.219999999</v>
      </c>
      <c r="M17" s="157">
        <v>64376943.920000002</v>
      </c>
      <c r="N17" s="157">
        <v>63149999.340000004</v>
      </c>
      <c r="O17" s="157">
        <v>69286439.340000004</v>
      </c>
      <c r="P17" s="157">
        <v>69490126.140000001</v>
      </c>
      <c r="Q17" s="157">
        <v>52094595.289999999</v>
      </c>
      <c r="R17" s="157">
        <v>57912871.380000003</v>
      </c>
      <c r="S17" s="157">
        <v>72853363.579999998</v>
      </c>
      <c r="T17" s="157">
        <v>58181409.670000002</v>
      </c>
      <c r="U17" s="157">
        <v>45013285.399999999</v>
      </c>
      <c r="V17" s="314"/>
      <c r="W17" s="329" t="s">
        <v>347</v>
      </c>
      <c r="X17" s="330" t="s">
        <v>11</v>
      </c>
      <c r="Y17" s="331">
        <v>9</v>
      </c>
      <c r="Z17" s="332">
        <v>45013285.399999999</v>
      </c>
      <c r="AA17" s="332">
        <v>0</v>
      </c>
      <c r="AB17" s="332">
        <v>45013285.399999999</v>
      </c>
      <c r="AC17" s="332">
        <v>58181409.670000002</v>
      </c>
      <c r="AD17" s="332">
        <v>0</v>
      </c>
      <c r="AE17" s="332">
        <v>58181409.670000002</v>
      </c>
      <c r="AF17" s="311"/>
    </row>
    <row r="18" spans="1:32" ht="12" x14ac:dyDescent="0.2">
      <c r="A18" s="145" t="s">
        <v>348</v>
      </c>
      <c r="B18" s="145" t="s">
        <v>12</v>
      </c>
      <c r="C18" s="156">
        <v>10</v>
      </c>
      <c r="D18" s="157">
        <v>64094000</v>
      </c>
      <c r="E18" s="157">
        <v>86968000</v>
      </c>
      <c r="F18" s="157">
        <v>111100989.34999999</v>
      </c>
      <c r="G18" s="157">
        <v>138785745.12</v>
      </c>
      <c r="H18" s="157">
        <v>173867483.02000001</v>
      </c>
      <c r="I18" s="157">
        <v>171850882.27000001</v>
      </c>
      <c r="J18" s="157">
        <v>183140203.34</v>
      </c>
      <c r="K18" s="157">
        <v>186997116.84999999</v>
      </c>
      <c r="L18" s="157">
        <v>201659787.96000001</v>
      </c>
      <c r="M18" s="157">
        <v>165807852.13</v>
      </c>
      <c r="N18" s="157">
        <v>175075706.37</v>
      </c>
      <c r="O18" s="157">
        <v>142748266.58000001</v>
      </c>
      <c r="P18" s="157">
        <v>144904642.97999999</v>
      </c>
      <c r="Q18" s="157">
        <v>97594074.25</v>
      </c>
      <c r="R18" s="157">
        <v>104727730.18000001</v>
      </c>
      <c r="S18" s="157">
        <v>97456203.209999993</v>
      </c>
      <c r="T18" s="157">
        <v>89984012.510000005</v>
      </c>
      <c r="U18" s="157">
        <v>66220222.719999999</v>
      </c>
      <c r="V18" s="314"/>
      <c r="W18" s="333" t="s">
        <v>348</v>
      </c>
      <c r="X18" s="334" t="s">
        <v>12</v>
      </c>
      <c r="Y18" s="335">
        <v>10</v>
      </c>
      <c r="Z18" s="336">
        <v>66220222.719999999</v>
      </c>
      <c r="AA18" s="336">
        <v>0</v>
      </c>
      <c r="AB18" s="336">
        <v>66220222.719999999</v>
      </c>
      <c r="AC18" s="336">
        <v>89984012.510000005</v>
      </c>
      <c r="AD18" s="336">
        <v>0</v>
      </c>
      <c r="AE18" s="336">
        <v>89984012.510000005</v>
      </c>
      <c r="AF18" s="311"/>
    </row>
    <row r="19" spans="1:32" ht="12" x14ac:dyDescent="0.2">
      <c r="A19" s="145" t="s">
        <v>4</v>
      </c>
      <c r="B19" s="145" t="s">
        <v>13</v>
      </c>
      <c r="C19" s="156">
        <v>11</v>
      </c>
      <c r="D19" s="157">
        <v>15985000</v>
      </c>
      <c r="E19" s="157">
        <v>25522000</v>
      </c>
      <c r="F19" s="157">
        <v>28948454.84</v>
      </c>
      <c r="G19" s="157">
        <v>29002662.739999998</v>
      </c>
      <c r="H19" s="157">
        <v>60024562.020000003</v>
      </c>
      <c r="I19" s="157">
        <v>71886905.439999998</v>
      </c>
      <c r="J19" s="157">
        <v>105245073.5</v>
      </c>
      <c r="K19" s="157">
        <v>126358096.81999999</v>
      </c>
      <c r="L19" s="157">
        <v>157520523.74000001</v>
      </c>
      <c r="M19" s="157">
        <v>175923351.97</v>
      </c>
      <c r="N19" s="157">
        <v>164838309.77000001</v>
      </c>
      <c r="O19" s="312">
        <v>173839336.56</v>
      </c>
      <c r="P19" s="312">
        <v>175532743.84999999</v>
      </c>
      <c r="Q19" s="312">
        <v>120834962.33</v>
      </c>
      <c r="R19" s="312">
        <v>131973058.3</v>
      </c>
      <c r="S19" s="312">
        <v>127644275.76000001</v>
      </c>
      <c r="T19" s="312">
        <v>138180312.18000001</v>
      </c>
      <c r="U19" s="312">
        <v>97591451.689999998</v>
      </c>
      <c r="V19" s="337"/>
      <c r="W19" s="329" t="s">
        <v>4</v>
      </c>
      <c r="X19" s="330" t="s">
        <v>13</v>
      </c>
      <c r="Y19" s="331">
        <v>11</v>
      </c>
      <c r="Z19" s="332">
        <v>97591451.689999998</v>
      </c>
      <c r="AA19" s="332">
        <v>0</v>
      </c>
      <c r="AB19" s="332">
        <v>97591451.689999998</v>
      </c>
      <c r="AC19" s="332">
        <v>138180312.18000001</v>
      </c>
      <c r="AD19" s="332">
        <v>0</v>
      </c>
      <c r="AE19" s="332">
        <v>138180312.18000001</v>
      </c>
      <c r="AF19" s="311"/>
    </row>
    <row r="20" spans="1:32" ht="12" x14ac:dyDescent="0.2">
      <c r="A20" s="145" t="s">
        <v>14</v>
      </c>
      <c r="B20" s="145" t="s">
        <v>15</v>
      </c>
      <c r="C20" s="156">
        <v>12</v>
      </c>
      <c r="D20" s="157">
        <v>4542000</v>
      </c>
      <c r="E20" s="157">
        <v>9707000</v>
      </c>
      <c r="F20" s="157">
        <v>15232505</v>
      </c>
      <c r="G20" s="157">
        <v>19435085.600000001</v>
      </c>
      <c r="H20" s="157">
        <v>23643712.579999998</v>
      </c>
      <c r="I20" s="157">
        <v>27923807.329999998</v>
      </c>
      <c r="J20" s="157">
        <v>31770216.949999999</v>
      </c>
      <c r="K20" s="157">
        <v>35165492.32</v>
      </c>
      <c r="L20" s="157">
        <v>38014718.560000002</v>
      </c>
      <c r="M20" s="157">
        <v>38379624.609999999</v>
      </c>
      <c r="N20" s="157">
        <v>40458854.509999998</v>
      </c>
      <c r="O20" s="157">
        <v>43593994.520000003</v>
      </c>
      <c r="P20" s="157">
        <v>47807033.630000003</v>
      </c>
      <c r="Q20" s="157">
        <v>43557466.479999997</v>
      </c>
      <c r="R20" s="157">
        <v>54768058.670000002</v>
      </c>
      <c r="S20" s="157">
        <v>61803979.200000003</v>
      </c>
      <c r="T20" s="157">
        <v>61542785.32</v>
      </c>
      <c r="U20" s="157">
        <v>46174693.719999999</v>
      </c>
      <c r="V20" s="314"/>
      <c r="W20" s="333" t="s">
        <v>14</v>
      </c>
      <c r="X20" s="334" t="s">
        <v>15</v>
      </c>
      <c r="Y20" s="335">
        <v>12</v>
      </c>
      <c r="Z20" s="336">
        <v>46174693.719999999</v>
      </c>
      <c r="AA20" s="336">
        <v>0</v>
      </c>
      <c r="AB20" s="336">
        <v>46174693.719999999</v>
      </c>
      <c r="AC20" s="336">
        <v>61542785.32</v>
      </c>
      <c r="AD20" s="336">
        <v>0</v>
      </c>
      <c r="AE20" s="336">
        <v>61542785.32</v>
      </c>
      <c r="AF20" s="311"/>
    </row>
    <row r="21" spans="1:32" ht="12" x14ac:dyDescent="0.2">
      <c r="A21" s="145" t="s">
        <v>349</v>
      </c>
      <c r="B21" s="145" t="s">
        <v>155</v>
      </c>
      <c r="C21" s="156">
        <v>13</v>
      </c>
      <c r="D21" s="157">
        <v>3346000</v>
      </c>
      <c r="E21" s="157">
        <v>7171000</v>
      </c>
      <c r="F21" s="157">
        <v>11424158</v>
      </c>
      <c r="G21" s="157">
        <v>14432630.859999999</v>
      </c>
      <c r="H21" s="157">
        <v>17586210.359999999</v>
      </c>
      <c r="I21" s="157">
        <v>20743336.899999999</v>
      </c>
      <c r="J21" s="157">
        <v>23548908.420000002</v>
      </c>
      <c r="K21" s="157">
        <v>26078435.91</v>
      </c>
      <c r="L21" s="157">
        <v>28188328.23</v>
      </c>
      <c r="M21" s="157">
        <v>28479245.850000001</v>
      </c>
      <c r="N21" s="157">
        <v>30040422.66</v>
      </c>
      <c r="O21" s="157">
        <v>32427434.77</v>
      </c>
      <c r="P21" s="157">
        <v>35655768.829999998</v>
      </c>
      <c r="Q21" s="157">
        <v>32424490.359999999</v>
      </c>
      <c r="R21" s="157">
        <v>40714279.659999996</v>
      </c>
      <c r="S21" s="157">
        <v>46080732.969999999</v>
      </c>
      <c r="T21" s="157">
        <v>45880054.479999997</v>
      </c>
      <c r="U21" s="157">
        <v>34399641</v>
      </c>
      <c r="V21" s="314"/>
      <c r="W21" s="329" t="s">
        <v>349</v>
      </c>
      <c r="X21" s="330" t="s">
        <v>155</v>
      </c>
      <c r="Y21" s="331">
        <v>13</v>
      </c>
      <c r="Z21" s="332">
        <v>34399641</v>
      </c>
      <c r="AA21" s="332">
        <v>0</v>
      </c>
      <c r="AB21" s="332">
        <v>34399641</v>
      </c>
      <c r="AC21" s="332">
        <v>45880054.479999997</v>
      </c>
      <c r="AD21" s="332">
        <v>0</v>
      </c>
      <c r="AE21" s="332">
        <v>45880054.479999997</v>
      </c>
      <c r="AF21" s="311"/>
    </row>
    <row r="22" spans="1:32" ht="12" customHeight="1" x14ac:dyDescent="0.2">
      <c r="A22" s="145" t="s">
        <v>350</v>
      </c>
      <c r="B22" s="145" t="s">
        <v>351</v>
      </c>
      <c r="C22" s="156">
        <v>14</v>
      </c>
      <c r="D22" s="157"/>
      <c r="E22" s="157"/>
      <c r="F22" s="157">
        <v>0</v>
      </c>
      <c r="G22" s="157">
        <v>0</v>
      </c>
      <c r="H22" s="157">
        <v>0</v>
      </c>
      <c r="I22" s="157">
        <v>0</v>
      </c>
      <c r="J22" s="157">
        <v>0</v>
      </c>
      <c r="K22" s="157">
        <v>0</v>
      </c>
      <c r="L22" s="157">
        <v>0</v>
      </c>
      <c r="M22" s="157">
        <v>0</v>
      </c>
      <c r="N22" s="157">
        <v>0</v>
      </c>
      <c r="O22" s="157">
        <v>0</v>
      </c>
      <c r="P22" s="157">
        <v>0</v>
      </c>
      <c r="Q22" s="157">
        <v>0</v>
      </c>
      <c r="R22" s="157">
        <v>0</v>
      </c>
      <c r="S22" s="157">
        <v>0</v>
      </c>
      <c r="T22" s="157">
        <v>0</v>
      </c>
      <c r="U22" s="157">
        <v>0</v>
      </c>
      <c r="V22" s="314"/>
      <c r="W22" s="333" t="s">
        <v>350</v>
      </c>
      <c r="X22" s="334" t="s">
        <v>351</v>
      </c>
      <c r="Y22" s="335">
        <v>14</v>
      </c>
      <c r="Z22" s="336">
        <v>0</v>
      </c>
      <c r="AA22" s="336">
        <v>0</v>
      </c>
      <c r="AB22" s="336">
        <v>0</v>
      </c>
      <c r="AC22" s="336">
        <v>0</v>
      </c>
      <c r="AD22" s="336">
        <v>0</v>
      </c>
      <c r="AE22" s="336">
        <v>0</v>
      </c>
    </row>
    <row r="23" spans="1:32" ht="12" customHeight="1" x14ac:dyDescent="0.2">
      <c r="A23" s="145" t="s">
        <v>352</v>
      </c>
      <c r="B23" s="145" t="s">
        <v>353</v>
      </c>
      <c r="C23" s="156">
        <v>15</v>
      </c>
      <c r="D23" s="157">
        <v>1166000</v>
      </c>
      <c r="E23" s="157">
        <v>2496000</v>
      </c>
      <c r="F23" s="157">
        <v>3753847</v>
      </c>
      <c r="G23" s="157">
        <v>4875302.92</v>
      </c>
      <c r="H23" s="157">
        <v>5887761.29</v>
      </c>
      <c r="I23" s="157">
        <v>6978541.3899999997</v>
      </c>
      <c r="J23" s="157">
        <v>7947620.0599999996</v>
      </c>
      <c r="K23" s="157">
        <v>8802448.7899999991</v>
      </c>
      <c r="L23" s="157">
        <v>9515213.9700000007</v>
      </c>
      <c r="M23" s="157">
        <v>9576384.3300000001</v>
      </c>
      <c r="N23" s="157">
        <v>10109810.16</v>
      </c>
      <c r="O23" s="157">
        <v>10905888.689999999</v>
      </c>
      <c r="P23" s="157">
        <v>11867080.529999999</v>
      </c>
      <c r="Q23" s="157">
        <v>10690738.050000001</v>
      </c>
      <c r="R23" s="157">
        <v>13526366.869999999</v>
      </c>
      <c r="S23" s="157">
        <v>15152793.07</v>
      </c>
      <c r="T23" s="157">
        <v>15128837.859999999</v>
      </c>
      <c r="U23" s="157">
        <v>11384182</v>
      </c>
      <c r="V23" s="314"/>
      <c r="W23" s="329" t="s">
        <v>352</v>
      </c>
      <c r="X23" s="330" t="s">
        <v>353</v>
      </c>
      <c r="Y23" s="331">
        <v>15</v>
      </c>
      <c r="Z23" s="332">
        <v>11384182</v>
      </c>
      <c r="AA23" s="332">
        <v>0</v>
      </c>
      <c r="AB23" s="332">
        <v>11384182</v>
      </c>
      <c r="AC23" s="332">
        <v>15128837.859999999</v>
      </c>
      <c r="AD23" s="332">
        <v>0</v>
      </c>
      <c r="AE23" s="332">
        <v>15128837.859999999</v>
      </c>
      <c r="AF23" s="311"/>
    </row>
    <row r="24" spans="1:32" ht="12" x14ac:dyDescent="0.2">
      <c r="A24" s="145" t="s">
        <v>354</v>
      </c>
      <c r="B24" s="145" t="s">
        <v>156</v>
      </c>
      <c r="C24" s="156">
        <v>16</v>
      </c>
      <c r="D24" s="157">
        <v>30000</v>
      </c>
      <c r="E24" s="157">
        <v>40000</v>
      </c>
      <c r="F24" s="157">
        <v>54500</v>
      </c>
      <c r="G24" s="157">
        <v>127151.82</v>
      </c>
      <c r="H24" s="157">
        <v>169740.93</v>
      </c>
      <c r="I24" s="157">
        <v>201929.04</v>
      </c>
      <c r="J24" s="157">
        <v>273688.46999999997</v>
      </c>
      <c r="K24" s="157">
        <v>284607.62</v>
      </c>
      <c r="L24" s="157">
        <v>311176.36</v>
      </c>
      <c r="M24" s="157">
        <v>323994.43</v>
      </c>
      <c r="N24" s="157">
        <v>308621.69</v>
      </c>
      <c r="O24" s="157">
        <v>260671.06</v>
      </c>
      <c r="P24" s="157">
        <v>284184.27</v>
      </c>
      <c r="Q24" s="157">
        <v>442238.07</v>
      </c>
      <c r="R24" s="157">
        <v>527412.14</v>
      </c>
      <c r="S24" s="157">
        <v>570453.16</v>
      </c>
      <c r="T24" s="157">
        <v>533892.98</v>
      </c>
      <c r="U24" s="157">
        <v>390870.72</v>
      </c>
      <c r="V24" s="314"/>
      <c r="W24" s="333" t="s">
        <v>354</v>
      </c>
      <c r="X24" s="334" t="s">
        <v>156</v>
      </c>
      <c r="Y24" s="335">
        <v>16</v>
      </c>
      <c r="Z24" s="336">
        <v>390870.72</v>
      </c>
      <c r="AA24" s="336">
        <v>0</v>
      </c>
      <c r="AB24" s="336">
        <v>390870.72</v>
      </c>
      <c r="AC24" s="336">
        <v>533892.98</v>
      </c>
      <c r="AD24" s="336">
        <v>0</v>
      </c>
      <c r="AE24" s="336">
        <v>533892.98</v>
      </c>
      <c r="AF24" s="311"/>
    </row>
    <row r="25" spans="1:32" ht="12" x14ac:dyDescent="0.2">
      <c r="A25" s="145" t="s">
        <v>16</v>
      </c>
      <c r="B25" s="145" t="s">
        <v>17</v>
      </c>
      <c r="C25" s="156">
        <v>17</v>
      </c>
      <c r="D25" s="157">
        <v>494000</v>
      </c>
      <c r="E25" s="157">
        <v>1182000</v>
      </c>
      <c r="F25" s="157">
        <v>2079306.95</v>
      </c>
      <c r="G25" s="157">
        <v>3010150.06</v>
      </c>
      <c r="H25" s="157">
        <v>7894933.2800000003</v>
      </c>
      <c r="I25" s="157">
        <v>10439439.619999999</v>
      </c>
      <c r="J25" s="157">
        <v>10028691.52</v>
      </c>
      <c r="K25" s="157">
        <v>12400276.49</v>
      </c>
      <c r="L25" s="157">
        <v>11895433.060000001</v>
      </c>
      <c r="M25" s="157">
        <v>26596442.940000001</v>
      </c>
      <c r="N25" s="157">
        <v>22634676.850000001</v>
      </c>
      <c r="O25" s="157">
        <v>28933280.579999998</v>
      </c>
      <c r="P25" s="157">
        <v>31932238.91</v>
      </c>
      <c r="Q25" s="157">
        <v>28871226.690000001</v>
      </c>
      <c r="R25" s="157">
        <v>27558135.66</v>
      </c>
      <c r="S25" s="157">
        <v>23961191.93</v>
      </c>
      <c r="T25" s="157">
        <v>19961694.010000002</v>
      </c>
      <c r="U25" s="157">
        <v>20135182.82</v>
      </c>
      <c r="V25" s="314"/>
      <c r="W25" s="329" t="s">
        <v>16</v>
      </c>
      <c r="X25" s="330" t="s">
        <v>17</v>
      </c>
      <c r="Y25" s="331">
        <v>17</v>
      </c>
      <c r="Z25" s="332">
        <v>20135182.82</v>
      </c>
      <c r="AA25" s="332">
        <v>0</v>
      </c>
      <c r="AB25" s="332">
        <v>20135182.82</v>
      </c>
      <c r="AC25" s="332">
        <v>19961694.010000002</v>
      </c>
      <c r="AD25" s="332">
        <v>0</v>
      </c>
      <c r="AE25" s="332">
        <v>19961694.010000002</v>
      </c>
      <c r="AF25" s="311"/>
    </row>
    <row r="26" spans="1:32" ht="12" customHeight="1" x14ac:dyDescent="0.2">
      <c r="A26" s="145" t="s">
        <v>19</v>
      </c>
      <c r="B26" s="145" t="s">
        <v>355</v>
      </c>
      <c r="C26" s="156">
        <v>18</v>
      </c>
      <c r="D26" s="157">
        <v>2209000</v>
      </c>
      <c r="E26" s="157">
        <v>2900000</v>
      </c>
      <c r="F26" s="157">
        <v>5034616.0999999996</v>
      </c>
      <c r="G26" s="157">
        <v>7153310</v>
      </c>
      <c r="H26" s="157">
        <v>12397793.369999999</v>
      </c>
      <c r="I26" s="157">
        <v>25394138.989999998</v>
      </c>
      <c r="J26" s="157">
        <v>41005268.899999999</v>
      </c>
      <c r="K26" s="157">
        <v>50146137.039999999</v>
      </c>
      <c r="L26" s="157">
        <v>68714369.140000001</v>
      </c>
      <c r="M26" s="157">
        <v>93516886.040000007</v>
      </c>
      <c r="N26" s="157">
        <v>92536421.629999995</v>
      </c>
      <c r="O26" s="157">
        <v>79816923.719999999</v>
      </c>
      <c r="P26" s="157">
        <v>69835034.420000002</v>
      </c>
      <c r="Q26" s="157">
        <v>47780208.490000002</v>
      </c>
      <c r="R26" s="157">
        <v>48190401.649999999</v>
      </c>
      <c r="S26" s="157">
        <v>39551358.729999997</v>
      </c>
      <c r="T26" s="157">
        <v>53452656.280000001</v>
      </c>
      <c r="U26" s="157">
        <v>12139725.050000001</v>
      </c>
      <c r="V26" s="314"/>
      <c r="W26" s="333" t="s">
        <v>19</v>
      </c>
      <c r="X26" s="334" t="s">
        <v>355</v>
      </c>
      <c r="Y26" s="335">
        <v>18</v>
      </c>
      <c r="Z26" s="336">
        <v>12139725.050000001</v>
      </c>
      <c r="AA26" s="336">
        <v>0</v>
      </c>
      <c r="AB26" s="336">
        <v>12139725.050000001</v>
      </c>
      <c r="AC26" s="336">
        <v>53452656.280000001</v>
      </c>
      <c r="AD26" s="336">
        <v>0</v>
      </c>
      <c r="AE26" s="336">
        <v>53452656.280000001</v>
      </c>
      <c r="AF26" s="311"/>
    </row>
    <row r="27" spans="1:32" ht="12" customHeight="1" x14ac:dyDescent="0.2">
      <c r="A27" s="145" t="s">
        <v>18</v>
      </c>
      <c r="B27" s="145" t="s">
        <v>356</v>
      </c>
      <c r="C27" s="156">
        <v>19</v>
      </c>
      <c r="D27" s="157">
        <v>6000</v>
      </c>
      <c r="E27" s="157">
        <v>309000</v>
      </c>
      <c r="F27" s="157">
        <v>27759.599999999999</v>
      </c>
      <c r="G27" s="157">
        <v>3031008.34</v>
      </c>
      <c r="H27" s="157">
        <v>5515297.4800000004</v>
      </c>
      <c r="I27" s="157">
        <v>6179269.0099999998</v>
      </c>
      <c r="J27" s="157">
        <v>4773813.3600000003</v>
      </c>
      <c r="K27" s="157">
        <v>7619764.5099999998</v>
      </c>
      <c r="L27" s="157">
        <v>6244995.9900000002</v>
      </c>
      <c r="M27" s="157">
        <v>5597103.46</v>
      </c>
      <c r="N27" s="157">
        <v>5298480.95</v>
      </c>
      <c r="O27" s="157">
        <v>3027226.56</v>
      </c>
      <c r="P27" s="157">
        <v>3020574.8</v>
      </c>
      <c r="Q27" s="157">
        <v>5153927.59</v>
      </c>
      <c r="R27" s="157">
        <v>3970596.07</v>
      </c>
      <c r="S27" s="157">
        <v>6163470.5099999998</v>
      </c>
      <c r="T27" s="157">
        <v>5050701.74</v>
      </c>
      <c r="U27" s="157">
        <v>3518696.85</v>
      </c>
      <c r="V27" s="314"/>
      <c r="W27" s="329" t="s">
        <v>18</v>
      </c>
      <c r="X27" s="330" t="s">
        <v>356</v>
      </c>
      <c r="Y27" s="331">
        <v>19</v>
      </c>
      <c r="Z27" s="332">
        <v>3518696.85</v>
      </c>
      <c r="AA27" s="332">
        <v>0</v>
      </c>
      <c r="AB27" s="332">
        <v>3518696.85</v>
      </c>
      <c r="AC27" s="332">
        <v>5050701.74</v>
      </c>
      <c r="AD27" s="332">
        <v>0</v>
      </c>
      <c r="AE27" s="332">
        <v>5050701.74</v>
      </c>
      <c r="AF27" s="311"/>
    </row>
    <row r="28" spans="1:32" ht="12" customHeight="1" x14ac:dyDescent="0.2">
      <c r="A28" s="145" t="s">
        <v>357</v>
      </c>
      <c r="B28" s="145" t="s">
        <v>170</v>
      </c>
      <c r="C28" s="156">
        <v>20</v>
      </c>
      <c r="D28" s="157"/>
      <c r="E28" s="157">
        <v>107000</v>
      </c>
      <c r="F28" s="157">
        <v>0</v>
      </c>
      <c r="G28" s="157">
        <v>0</v>
      </c>
      <c r="H28" s="157">
        <v>200000</v>
      </c>
      <c r="I28" s="157">
        <v>0</v>
      </c>
      <c r="J28" s="157">
        <v>0</v>
      </c>
      <c r="K28" s="157">
        <v>0</v>
      </c>
      <c r="L28" s="157">
        <v>0</v>
      </c>
      <c r="M28" s="157">
        <v>402500</v>
      </c>
      <c r="N28" s="157">
        <v>1350000</v>
      </c>
      <c r="O28" s="157">
        <v>0</v>
      </c>
      <c r="P28" s="157">
        <v>0</v>
      </c>
      <c r="Q28" s="157">
        <v>1994233.2</v>
      </c>
      <c r="R28" s="157">
        <v>0</v>
      </c>
      <c r="S28" s="157">
        <v>1302280</v>
      </c>
      <c r="T28" s="157">
        <v>680890</v>
      </c>
      <c r="U28" s="157">
        <v>151922.89000000001</v>
      </c>
      <c r="V28" s="314"/>
      <c r="W28" s="333" t="s">
        <v>357</v>
      </c>
      <c r="X28" s="334" t="s">
        <v>170</v>
      </c>
      <c r="Y28" s="335">
        <v>20</v>
      </c>
      <c r="Z28" s="336">
        <v>151922.89000000001</v>
      </c>
      <c r="AA28" s="336">
        <v>0</v>
      </c>
      <c r="AB28" s="336">
        <v>151922.89000000001</v>
      </c>
      <c r="AC28" s="336">
        <v>680890</v>
      </c>
      <c r="AD28" s="336">
        <v>0</v>
      </c>
      <c r="AE28" s="336">
        <v>680890</v>
      </c>
      <c r="AF28" s="311"/>
    </row>
    <row r="29" spans="1:32" ht="12" x14ac:dyDescent="0.2">
      <c r="A29" s="145" t="s">
        <v>358</v>
      </c>
      <c r="B29" s="145" t="s">
        <v>171</v>
      </c>
      <c r="C29" s="156">
        <v>21</v>
      </c>
      <c r="D29" s="157">
        <v>6000</v>
      </c>
      <c r="E29" s="157">
        <v>202000</v>
      </c>
      <c r="F29" s="157">
        <v>27759.599999999999</v>
      </c>
      <c r="G29" s="157">
        <v>3031008.34</v>
      </c>
      <c r="H29" s="157">
        <v>5315297.4800000004</v>
      </c>
      <c r="I29" s="157">
        <v>6179269.0099999998</v>
      </c>
      <c r="J29" s="157">
        <v>4773813.3600000003</v>
      </c>
      <c r="K29" s="157">
        <v>7619764.5099999998</v>
      </c>
      <c r="L29" s="157">
        <v>6244995.9900000002</v>
      </c>
      <c r="M29" s="157">
        <v>5194603.46</v>
      </c>
      <c r="N29" s="157">
        <v>3948480.95</v>
      </c>
      <c r="O29" s="157">
        <v>3027226.56</v>
      </c>
      <c r="P29" s="157">
        <v>3020574.8</v>
      </c>
      <c r="Q29" s="157">
        <v>3159694.39</v>
      </c>
      <c r="R29" s="157">
        <v>3970596.07</v>
      </c>
      <c r="S29" s="157">
        <v>4861190.51</v>
      </c>
      <c r="T29" s="157">
        <v>4369811.74</v>
      </c>
      <c r="U29" s="157">
        <v>3366773.96</v>
      </c>
      <c r="V29" s="314"/>
      <c r="W29" s="329" t="s">
        <v>358</v>
      </c>
      <c r="X29" s="330" t="s">
        <v>171</v>
      </c>
      <c r="Y29" s="331">
        <v>21</v>
      </c>
      <c r="Z29" s="332">
        <v>3366773.96</v>
      </c>
      <c r="AA29" s="332">
        <v>0</v>
      </c>
      <c r="AB29" s="332">
        <v>3366773.96</v>
      </c>
      <c r="AC29" s="332">
        <v>4369811.74</v>
      </c>
      <c r="AD29" s="332">
        <v>0</v>
      </c>
      <c r="AE29" s="332">
        <v>4369811.74</v>
      </c>
      <c r="AF29" s="311"/>
    </row>
    <row r="30" spans="1:32" ht="12" customHeight="1" x14ac:dyDescent="0.2">
      <c r="A30" s="145" t="s">
        <v>20</v>
      </c>
      <c r="B30" s="145" t="s">
        <v>359</v>
      </c>
      <c r="C30" s="156">
        <v>22</v>
      </c>
      <c r="D30" s="157"/>
      <c r="E30" s="157">
        <v>580000</v>
      </c>
      <c r="F30" s="157">
        <v>27759.599999999999</v>
      </c>
      <c r="G30" s="157">
        <v>2928935.67</v>
      </c>
      <c r="H30" s="157">
        <v>5226973.49</v>
      </c>
      <c r="I30" s="157">
        <v>6124056.0999999996</v>
      </c>
      <c r="J30" s="157">
        <v>4670626.2699999996</v>
      </c>
      <c r="K30" s="157">
        <v>7436575.29</v>
      </c>
      <c r="L30" s="157">
        <v>6039835.8499999996</v>
      </c>
      <c r="M30" s="157">
        <v>4908972.8099999996</v>
      </c>
      <c r="N30" s="157">
        <v>3484481.78</v>
      </c>
      <c r="O30" s="157">
        <v>2859742.96</v>
      </c>
      <c r="P30" s="157">
        <v>2897878.54</v>
      </c>
      <c r="Q30" s="157">
        <v>3628937.51</v>
      </c>
      <c r="R30" s="157">
        <v>4036759.17</v>
      </c>
      <c r="S30" s="157">
        <v>4748381.18</v>
      </c>
      <c r="T30" s="157">
        <v>4242553.47</v>
      </c>
      <c r="U30" s="157">
        <v>2975671.58</v>
      </c>
      <c r="V30" s="314"/>
      <c r="W30" s="333" t="s">
        <v>20</v>
      </c>
      <c r="X30" s="334" t="s">
        <v>359</v>
      </c>
      <c r="Y30" s="335">
        <v>22</v>
      </c>
      <c r="Z30" s="336">
        <v>2975671.58</v>
      </c>
      <c r="AA30" s="336">
        <v>0</v>
      </c>
      <c r="AB30" s="336">
        <v>2975671.58</v>
      </c>
      <c r="AC30" s="336">
        <v>4242553.47</v>
      </c>
      <c r="AD30" s="336">
        <v>0</v>
      </c>
      <c r="AE30" s="336">
        <v>4242553.47</v>
      </c>
      <c r="AF30" s="311"/>
    </row>
    <row r="31" spans="1:32" ht="12" customHeight="1" x14ac:dyDescent="0.2">
      <c r="A31" s="145" t="s">
        <v>360</v>
      </c>
      <c r="B31" s="145" t="s">
        <v>278</v>
      </c>
      <c r="C31" s="156">
        <v>23</v>
      </c>
      <c r="D31" s="157"/>
      <c r="E31" s="157">
        <v>446000</v>
      </c>
      <c r="F31" s="157">
        <v>0</v>
      </c>
      <c r="G31" s="157">
        <v>0</v>
      </c>
      <c r="H31" s="157">
        <v>791.9</v>
      </c>
      <c r="I31" s="157">
        <v>6352</v>
      </c>
      <c r="J31" s="157">
        <v>0</v>
      </c>
      <c r="K31" s="157">
        <v>0</v>
      </c>
      <c r="L31" s="157">
        <v>0</v>
      </c>
      <c r="M31" s="157">
        <v>0</v>
      </c>
      <c r="N31" s="157">
        <v>0</v>
      </c>
      <c r="O31" s="157">
        <v>0</v>
      </c>
      <c r="P31" s="157">
        <v>0</v>
      </c>
      <c r="Q31" s="157">
        <v>580096</v>
      </c>
      <c r="R31" s="157">
        <v>0</v>
      </c>
      <c r="S31" s="157">
        <v>0</v>
      </c>
      <c r="T31" s="157">
        <v>0</v>
      </c>
      <c r="U31" s="157">
        <v>0</v>
      </c>
      <c r="V31" s="314"/>
      <c r="W31" s="329" t="s">
        <v>360</v>
      </c>
      <c r="X31" s="330" t="s">
        <v>278</v>
      </c>
      <c r="Y31" s="331">
        <v>23</v>
      </c>
      <c r="Z31" s="332">
        <v>0</v>
      </c>
      <c r="AA31" s="332">
        <v>0</v>
      </c>
      <c r="AB31" s="332">
        <v>0</v>
      </c>
      <c r="AC31" s="332">
        <v>0</v>
      </c>
      <c r="AD31" s="332">
        <v>0</v>
      </c>
      <c r="AE31" s="332">
        <v>0</v>
      </c>
    </row>
    <row r="32" spans="1:32" ht="12" x14ac:dyDescent="0.2">
      <c r="A32" s="145" t="s">
        <v>51</v>
      </c>
      <c r="B32" s="145" t="s">
        <v>361</v>
      </c>
      <c r="C32" s="156">
        <v>24</v>
      </c>
      <c r="D32" s="157"/>
      <c r="E32" s="157">
        <v>134000</v>
      </c>
      <c r="F32" s="157">
        <v>27759.599999999999</v>
      </c>
      <c r="G32" s="157">
        <v>2928935.67</v>
      </c>
      <c r="H32" s="157">
        <v>5226181.59</v>
      </c>
      <c r="I32" s="157">
        <v>6117704.0999999996</v>
      </c>
      <c r="J32" s="157">
        <v>4670626.2699999996</v>
      </c>
      <c r="K32" s="157">
        <v>7436575.29</v>
      </c>
      <c r="L32" s="157">
        <v>6039835.8499999996</v>
      </c>
      <c r="M32" s="157">
        <v>4908972.8099999996</v>
      </c>
      <c r="N32" s="157">
        <v>3484481.78</v>
      </c>
      <c r="O32" s="157">
        <v>2859742.96</v>
      </c>
      <c r="P32" s="157">
        <v>2897878.54</v>
      </c>
      <c r="Q32" s="157">
        <v>3048841.51</v>
      </c>
      <c r="R32" s="157">
        <v>4036759.17</v>
      </c>
      <c r="S32" s="157">
        <v>4748381.18</v>
      </c>
      <c r="T32" s="157">
        <v>4242553.47</v>
      </c>
      <c r="U32" s="157">
        <v>2975671.58</v>
      </c>
      <c r="V32" s="314"/>
      <c r="W32" s="333">
        <v>2</v>
      </c>
      <c r="X32" s="334" t="s">
        <v>361</v>
      </c>
      <c r="Y32" s="335">
        <v>24</v>
      </c>
      <c r="Z32" s="336">
        <v>2975671.58</v>
      </c>
      <c r="AA32" s="336">
        <v>0</v>
      </c>
      <c r="AB32" s="336">
        <v>2975671.58</v>
      </c>
      <c r="AC32" s="336">
        <v>4242553.47</v>
      </c>
      <c r="AD32" s="336">
        <v>0</v>
      </c>
      <c r="AE32" s="336">
        <v>4242553.47</v>
      </c>
      <c r="AF32" s="311"/>
    </row>
    <row r="33" spans="1:32" ht="12" customHeight="1" x14ac:dyDescent="0.2">
      <c r="A33" s="145" t="s">
        <v>22</v>
      </c>
      <c r="B33" s="145" t="s">
        <v>362</v>
      </c>
      <c r="C33" s="156">
        <v>25</v>
      </c>
      <c r="D33" s="157">
        <v>7622000</v>
      </c>
      <c r="E33" s="157">
        <v>450000</v>
      </c>
      <c r="F33" s="157">
        <v>-9464971.2599999998</v>
      </c>
      <c r="G33" s="157">
        <v>-4146589.7</v>
      </c>
      <c r="H33" s="157">
        <v>378303.85</v>
      </c>
      <c r="I33" s="157">
        <v>232036.74</v>
      </c>
      <c r="J33" s="157">
        <v>-78188.649999999994</v>
      </c>
      <c r="K33" s="157">
        <v>-313472.64000000001</v>
      </c>
      <c r="L33" s="157">
        <v>-186456.69</v>
      </c>
      <c r="M33" s="157">
        <v>565959.16</v>
      </c>
      <c r="N33" s="157">
        <v>-423188.76</v>
      </c>
      <c r="O33" s="157">
        <v>54749.440000000002</v>
      </c>
      <c r="P33" s="157">
        <v>-177547.67</v>
      </c>
      <c r="Q33" s="157">
        <v>-384502.91</v>
      </c>
      <c r="R33" s="157">
        <v>278823.67</v>
      </c>
      <c r="S33" s="157">
        <v>-224467.31</v>
      </c>
      <c r="T33" s="157">
        <v>-130946.99</v>
      </c>
      <c r="U33" s="157">
        <v>0</v>
      </c>
      <c r="V33" s="314"/>
      <c r="W33" s="329" t="s">
        <v>22</v>
      </c>
      <c r="X33" s="330" t="s">
        <v>362</v>
      </c>
      <c r="Y33" s="331">
        <v>25</v>
      </c>
      <c r="Z33" s="332">
        <v>0</v>
      </c>
      <c r="AA33" s="332">
        <v>0</v>
      </c>
      <c r="AB33" s="332">
        <v>0</v>
      </c>
      <c r="AC33" s="332">
        <v>-130946.99</v>
      </c>
      <c r="AD33" s="332">
        <v>0</v>
      </c>
      <c r="AE33" s="332">
        <v>-130946.99</v>
      </c>
      <c r="AF33" s="311"/>
    </row>
    <row r="34" spans="1:32" ht="12" x14ac:dyDescent="0.2">
      <c r="A34" s="145" t="s">
        <v>21</v>
      </c>
      <c r="B34" s="145" t="s">
        <v>160</v>
      </c>
      <c r="C34" s="156">
        <v>26</v>
      </c>
      <c r="D34" s="157">
        <v>615000</v>
      </c>
      <c r="E34" s="157">
        <v>1312000</v>
      </c>
      <c r="F34" s="157">
        <v>1203021</v>
      </c>
      <c r="G34" s="157">
        <v>1057791.0900000001</v>
      </c>
      <c r="H34" s="157">
        <v>2762573.31</v>
      </c>
      <c r="I34" s="157">
        <v>2367418.35</v>
      </c>
      <c r="J34" s="157">
        <v>827506.21</v>
      </c>
      <c r="K34" s="157">
        <v>507490.97</v>
      </c>
      <c r="L34" s="157">
        <v>1398507.88</v>
      </c>
      <c r="M34" s="157">
        <v>2324331.7599999998</v>
      </c>
      <c r="N34" s="157">
        <v>922639.45</v>
      </c>
      <c r="O34" s="157">
        <v>921777.54</v>
      </c>
      <c r="P34" s="157">
        <v>967289.99</v>
      </c>
      <c r="Q34" s="157">
        <v>689036.2</v>
      </c>
      <c r="R34" s="157">
        <v>2917592.22</v>
      </c>
      <c r="S34" s="157">
        <v>2058153.45</v>
      </c>
      <c r="T34" s="157">
        <v>5631765.2199999997</v>
      </c>
      <c r="U34" s="157">
        <v>1483689.32</v>
      </c>
      <c r="V34" s="314"/>
      <c r="W34" s="333" t="s">
        <v>21</v>
      </c>
      <c r="X34" s="334" t="s">
        <v>160</v>
      </c>
      <c r="Y34" s="335">
        <v>26</v>
      </c>
      <c r="Z34" s="336">
        <v>1483689.32</v>
      </c>
      <c r="AA34" s="336">
        <v>0</v>
      </c>
      <c r="AB34" s="336">
        <v>1483689.32</v>
      </c>
      <c r="AC34" s="336">
        <v>5631765.2199999997</v>
      </c>
      <c r="AD34" s="336">
        <v>0</v>
      </c>
      <c r="AE34" s="336">
        <v>5631765.2199999997</v>
      </c>
      <c r="AF34" s="311"/>
    </row>
    <row r="35" spans="1:32" ht="12" x14ac:dyDescent="0.2">
      <c r="A35" s="145" t="s">
        <v>23</v>
      </c>
      <c r="B35" s="145" t="s">
        <v>159</v>
      </c>
      <c r="C35" s="156">
        <v>27</v>
      </c>
      <c r="D35" s="157">
        <v>1151000</v>
      </c>
      <c r="E35" s="157">
        <v>1525000</v>
      </c>
      <c r="F35" s="157">
        <v>2426140.5</v>
      </c>
      <c r="G35" s="157">
        <v>2337002.37</v>
      </c>
      <c r="H35" s="157">
        <v>5878193.5199999996</v>
      </c>
      <c r="I35" s="157">
        <v>3615488.35</v>
      </c>
      <c r="J35" s="157">
        <v>3816665.34</v>
      </c>
      <c r="K35" s="157">
        <v>3979354.45</v>
      </c>
      <c r="L35" s="157">
        <v>4705693.8499999996</v>
      </c>
      <c r="M35" s="157">
        <v>4785037.1500000004</v>
      </c>
      <c r="N35" s="157">
        <v>4806822.6399999997</v>
      </c>
      <c r="O35" s="157">
        <v>4212591.49</v>
      </c>
      <c r="P35" s="157">
        <v>4669212.03</v>
      </c>
      <c r="Q35" s="157">
        <v>4382989.6100000003</v>
      </c>
      <c r="R35" s="157">
        <v>3978719.14</v>
      </c>
      <c r="S35" s="157">
        <v>4726167.24</v>
      </c>
      <c r="T35" s="157">
        <v>4955635.2300000004</v>
      </c>
      <c r="U35" s="157">
        <v>4098327.72</v>
      </c>
      <c r="V35" s="314"/>
      <c r="W35" s="329" t="s">
        <v>23</v>
      </c>
      <c r="X35" s="330" t="s">
        <v>159</v>
      </c>
      <c r="Y35" s="331">
        <v>27</v>
      </c>
      <c r="Z35" s="332">
        <v>4098327.72</v>
      </c>
      <c r="AA35" s="332">
        <v>0</v>
      </c>
      <c r="AB35" s="332">
        <v>4098327.72</v>
      </c>
      <c r="AC35" s="332">
        <v>4955635.2300000004</v>
      </c>
      <c r="AD35" s="332">
        <v>0</v>
      </c>
      <c r="AE35" s="332">
        <v>4955635.2300000004</v>
      </c>
      <c r="AF35" s="311"/>
    </row>
    <row r="36" spans="1:32" ht="12" x14ac:dyDescent="0.2">
      <c r="A36" s="145" t="s">
        <v>272</v>
      </c>
      <c r="B36" s="145" t="s">
        <v>273</v>
      </c>
      <c r="C36" s="156">
        <v>28</v>
      </c>
      <c r="D36" s="157"/>
      <c r="E36" s="157"/>
      <c r="F36" s="157">
        <v>0</v>
      </c>
      <c r="G36" s="157">
        <v>0</v>
      </c>
      <c r="H36" s="157">
        <v>0</v>
      </c>
      <c r="I36" s="157">
        <v>0</v>
      </c>
      <c r="J36" s="157">
        <v>0</v>
      </c>
      <c r="K36" s="157">
        <v>0</v>
      </c>
      <c r="L36" s="157">
        <v>0</v>
      </c>
      <c r="M36" s="157">
        <v>0</v>
      </c>
      <c r="N36" s="157">
        <v>0</v>
      </c>
      <c r="O36" s="157">
        <v>0</v>
      </c>
      <c r="P36" s="157">
        <v>0</v>
      </c>
      <c r="Q36" s="157">
        <v>0</v>
      </c>
      <c r="R36" s="157">
        <v>0</v>
      </c>
      <c r="S36" s="157">
        <v>0</v>
      </c>
      <c r="T36" s="157">
        <v>0</v>
      </c>
      <c r="U36" s="157">
        <v>0</v>
      </c>
      <c r="V36" s="314"/>
      <c r="W36" s="333" t="s">
        <v>272</v>
      </c>
      <c r="X36" s="334" t="s">
        <v>273</v>
      </c>
      <c r="Y36" s="335">
        <v>28</v>
      </c>
      <c r="Z36" s="336">
        <v>0</v>
      </c>
      <c r="AA36" s="336">
        <v>0</v>
      </c>
      <c r="AB36" s="336">
        <v>0</v>
      </c>
      <c r="AC36" s="336">
        <v>0</v>
      </c>
      <c r="AD36" s="336">
        <v>0</v>
      </c>
      <c r="AE36" s="336">
        <v>0</v>
      </c>
    </row>
    <row r="37" spans="1:32" ht="12" x14ac:dyDescent="0.2">
      <c r="A37" s="145" t="s">
        <v>0</v>
      </c>
      <c r="B37" s="145" t="s">
        <v>274</v>
      </c>
      <c r="C37" s="156">
        <v>29</v>
      </c>
      <c r="D37" s="157"/>
      <c r="E37" s="157"/>
      <c r="F37" s="157">
        <v>0</v>
      </c>
      <c r="G37" s="157">
        <v>0</v>
      </c>
      <c r="H37" s="157">
        <v>0</v>
      </c>
      <c r="I37" s="157">
        <v>0</v>
      </c>
      <c r="J37" s="157">
        <v>0</v>
      </c>
      <c r="K37" s="157">
        <v>0</v>
      </c>
      <c r="L37" s="157">
        <v>0</v>
      </c>
      <c r="M37" s="157">
        <v>0</v>
      </c>
      <c r="N37" s="157">
        <v>0</v>
      </c>
      <c r="O37" s="157">
        <v>0</v>
      </c>
      <c r="P37" s="157">
        <v>0</v>
      </c>
      <c r="Q37" s="157">
        <v>0</v>
      </c>
      <c r="R37" s="157">
        <v>0</v>
      </c>
      <c r="S37" s="157">
        <v>0</v>
      </c>
      <c r="T37" s="157">
        <v>0</v>
      </c>
      <c r="U37" s="157">
        <v>0</v>
      </c>
      <c r="V37" s="314"/>
      <c r="W37" s="329" t="s">
        <v>0</v>
      </c>
      <c r="X37" s="330" t="s">
        <v>274</v>
      </c>
      <c r="Y37" s="331">
        <v>29</v>
      </c>
      <c r="Z37" s="332">
        <v>0</v>
      </c>
      <c r="AA37" s="332">
        <v>0</v>
      </c>
      <c r="AB37" s="332">
        <v>0</v>
      </c>
      <c r="AC37" s="332">
        <v>0</v>
      </c>
      <c r="AD37" s="332">
        <v>0</v>
      </c>
      <c r="AE37" s="332">
        <v>0</v>
      </c>
    </row>
    <row r="38" spans="1:32" ht="12" customHeight="1" x14ac:dyDescent="0.2">
      <c r="A38" s="145" t="s">
        <v>363</v>
      </c>
      <c r="B38" s="145" t="s">
        <v>209</v>
      </c>
      <c r="C38" s="156">
        <v>30</v>
      </c>
      <c r="D38" s="157">
        <v>588000</v>
      </c>
      <c r="E38" s="157">
        <v>10799000</v>
      </c>
      <c r="F38" s="157">
        <v>14843878.550000001</v>
      </c>
      <c r="G38" s="157">
        <v>2373568.17</v>
      </c>
      <c r="H38" s="157">
        <v>12882522.720000001</v>
      </c>
      <c r="I38" s="157">
        <v>6704625.6699999999</v>
      </c>
      <c r="J38" s="157">
        <v>19633112.739999998</v>
      </c>
      <c r="K38" s="157">
        <v>25670989.350000001</v>
      </c>
      <c r="L38" s="157">
        <v>35980433.840000004</v>
      </c>
      <c r="M38" s="157">
        <v>15091864.48</v>
      </c>
      <c r="N38" s="157">
        <v>7561361.5199999996</v>
      </c>
      <c r="O38" s="157">
        <v>18317057.949999999</v>
      </c>
      <c r="P38" s="157">
        <v>22556758.780000001</v>
      </c>
      <c r="Q38" s="157">
        <v>-1158399.75</v>
      </c>
      <c r="R38" s="157">
        <v>50348.63</v>
      </c>
      <c r="S38" s="157">
        <v>1299288.75</v>
      </c>
      <c r="T38" s="157">
        <v>4838401.82</v>
      </c>
      <c r="U38" s="157">
        <v>17070236.969999999</v>
      </c>
      <c r="V38" s="314"/>
      <c r="W38" s="333" t="s">
        <v>363</v>
      </c>
      <c r="X38" s="334" t="s">
        <v>209</v>
      </c>
      <c r="Y38" s="335">
        <v>30</v>
      </c>
      <c r="Z38" s="336">
        <v>17070236.969999999</v>
      </c>
      <c r="AA38" s="336">
        <v>0</v>
      </c>
      <c r="AB38" s="336">
        <v>17070236.969999999</v>
      </c>
      <c r="AC38" s="336">
        <v>4838401.82</v>
      </c>
      <c r="AD38" s="336">
        <v>0</v>
      </c>
      <c r="AE38" s="336">
        <v>4838401.82</v>
      </c>
      <c r="AF38" s="311"/>
    </row>
    <row r="39" spans="1:32" ht="12" customHeight="1" x14ac:dyDescent="0.2">
      <c r="A39" s="145" t="s">
        <v>24</v>
      </c>
      <c r="B39" s="145" t="s">
        <v>174</v>
      </c>
      <c r="C39" s="156">
        <v>31</v>
      </c>
      <c r="D39" s="157"/>
      <c r="E39" s="157"/>
      <c r="F39" s="157">
        <v>0</v>
      </c>
      <c r="G39" s="157">
        <v>0</v>
      </c>
      <c r="H39" s="157">
        <v>0</v>
      </c>
      <c r="I39" s="157">
        <v>0</v>
      </c>
      <c r="J39" s="157">
        <v>0</v>
      </c>
      <c r="K39" s="157">
        <v>0</v>
      </c>
      <c r="L39" s="157">
        <v>0</v>
      </c>
      <c r="M39" s="157">
        <v>0</v>
      </c>
      <c r="N39" s="157">
        <v>0</v>
      </c>
      <c r="O39" s="157">
        <v>0</v>
      </c>
      <c r="P39" s="157">
        <v>0</v>
      </c>
      <c r="Q39" s="157">
        <v>0</v>
      </c>
      <c r="R39" s="157">
        <v>0</v>
      </c>
      <c r="S39" s="157">
        <v>0</v>
      </c>
      <c r="T39" s="157">
        <v>0</v>
      </c>
      <c r="U39" s="157">
        <v>0</v>
      </c>
      <c r="V39" s="314"/>
      <c r="W39" s="329" t="s">
        <v>24</v>
      </c>
      <c r="X39" s="330" t="s">
        <v>174</v>
      </c>
      <c r="Y39" s="331">
        <v>31</v>
      </c>
      <c r="Z39" s="332">
        <v>0</v>
      </c>
      <c r="AA39" s="332">
        <v>0</v>
      </c>
      <c r="AB39" s="332">
        <v>0</v>
      </c>
      <c r="AC39" s="332">
        <v>0</v>
      </c>
      <c r="AD39" s="332">
        <v>0</v>
      </c>
      <c r="AE39" s="332">
        <v>0</v>
      </c>
    </row>
    <row r="40" spans="1:32" ht="12" customHeight="1" x14ac:dyDescent="0.2">
      <c r="A40" s="145" t="s">
        <v>26</v>
      </c>
      <c r="B40" s="145" t="s">
        <v>175</v>
      </c>
      <c r="C40" s="156">
        <v>32</v>
      </c>
      <c r="D40" s="157"/>
      <c r="E40" s="157"/>
      <c r="F40" s="157">
        <v>0</v>
      </c>
      <c r="G40" s="157">
        <v>0</v>
      </c>
      <c r="H40" s="157">
        <v>0</v>
      </c>
      <c r="I40" s="157">
        <v>0</v>
      </c>
      <c r="J40" s="157">
        <v>0</v>
      </c>
      <c r="K40" s="157">
        <v>0</v>
      </c>
      <c r="L40" s="157">
        <v>0</v>
      </c>
      <c r="M40" s="157">
        <v>0</v>
      </c>
      <c r="N40" s="157">
        <v>0</v>
      </c>
      <c r="O40" s="157">
        <v>0</v>
      </c>
      <c r="P40" s="157">
        <v>0</v>
      </c>
      <c r="Q40" s="157">
        <v>0</v>
      </c>
      <c r="R40" s="157">
        <v>0</v>
      </c>
      <c r="S40" s="157">
        <v>0</v>
      </c>
      <c r="T40" s="157">
        <v>0</v>
      </c>
      <c r="U40" s="157">
        <v>0</v>
      </c>
      <c r="V40" s="314"/>
      <c r="W40" s="333" t="s">
        <v>26</v>
      </c>
      <c r="X40" s="334" t="s">
        <v>175</v>
      </c>
      <c r="Y40" s="335">
        <v>32</v>
      </c>
      <c r="Z40" s="336">
        <v>0</v>
      </c>
      <c r="AA40" s="336">
        <v>0</v>
      </c>
      <c r="AB40" s="336">
        <v>0</v>
      </c>
      <c r="AC40" s="336">
        <v>0</v>
      </c>
      <c r="AD40" s="336">
        <v>0</v>
      </c>
      <c r="AE40" s="336">
        <v>0</v>
      </c>
    </row>
    <row r="41" spans="1:32" ht="12" customHeight="1" x14ac:dyDescent="0.2">
      <c r="A41" s="145" t="s">
        <v>25</v>
      </c>
      <c r="B41" s="145" t="s">
        <v>162</v>
      </c>
      <c r="C41" s="156">
        <v>33</v>
      </c>
      <c r="D41" s="157"/>
      <c r="E41" s="157"/>
      <c r="F41" s="157">
        <v>0</v>
      </c>
      <c r="G41" s="157">
        <v>0</v>
      </c>
      <c r="H41" s="157">
        <v>0</v>
      </c>
      <c r="I41" s="157">
        <v>0</v>
      </c>
      <c r="J41" s="157">
        <v>0</v>
      </c>
      <c r="K41" s="157">
        <v>0</v>
      </c>
      <c r="L41" s="157">
        <v>0</v>
      </c>
      <c r="M41" s="157">
        <v>0</v>
      </c>
      <c r="N41" s="157">
        <v>0</v>
      </c>
      <c r="O41" s="157">
        <v>0</v>
      </c>
      <c r="P41" s="157">
        <v>0</v>
      </c>
      <c r="Q41" s="157">
        <v>0</v>
      </c>
      <c r="R41" s="157">
        <v>0</v>
      </c>
      <c r="S41" s="157">
        <v>0</v>
      </c>
      <c r="T41" s="157">
        <v>0</v>
      </c>
      <c r="U41" s="157">
        <v>0</v>
      </c>
      <c r="V41" s="314"/>
      <c r="W41" s="329" t="s">
        <v>25</v>
      </c>
      <c r="X41" s="330" t="s">
        <v>162</v>
      </c>
      <c r="Y41" s="331">
        <v>33</v>
      </c>
      <c r="Z41" s="332">
        <v>0</v>
      </c>
      <c r="AA41" s="332">
        <v>0</v>
      </c>
      <c r="AB41" s="332">
        <v>0</v>
      </c>
      <c r="AC41" s="332">
        <v>0</v>
      </c>
      <c r="AD41" s="332">
        <v>0</v>
      </c>
      <c r="AE41" s="332">
        <v>0</v>
      </c>
    </row>
    <row r="42" spans="1:32" ht="12" customHeight="1" x14ac:dyDescent="0.2">
      <c r="A42" s="145" t="s">
        <v>364</v>
      </c>
      <c r="B42" s="145" t="s">
        <v>365</v>
      </c>
      <c r="C42" s="156">
        <v>34</v>
      </c>
      <c r="D42" s="157"/>
      <c r="E42" s="157"/>
      <c r="F42" s="157">
        <v>0</v>
      </c>
      <c r="G42" s="157">
        <v>0</v>
      </c>
      <c r="H42" s="157">
        <v>0</v>
      </c>
      <c r="I42" s="157">
        <v>0</v>
      </c>
      <c r="J42" s="157">
        <v>0</v>
      </c>
      <c r="K42" s="157">
        <v>0</v>
      </c>
      <c r="L42" s="157">
        <v>0</v>
      </c>
      <c r="M42" s="157">
        <v>0</v>
      </c>
      <c r="N42" s="157">
        <v>0</v>
      </c>
      <c r="O42" s="157">
        <v>0</v>
      </c>
      <c r="P42" s="157">
        <v>0</v>
      </c>
      <c r="Q42" s="157">
        <v>0</v>
      </c>
      <c r="R42" s="157">
        <v>0</v>
      </c>
      <c r="S42" s="157">
        <v>0</v>
      </c>
      <c r="T42" s="157">
        <v>0</v>
      </c>
      <c r="U42" s="157">
        <v>0</v>
      </c>
      <c r="V42" s="314"/>
      <c r="W42" s="333" t="s">
        <v>364</v>
      </c>
      <c r="X42" s="334" t="s">
        <v>365</v>
      </c>
      <c r="Y42" s="335">
        <v>34</v>
      </c>
      <c r="Z42" s="336">
        <v>0</v>
      </c>
      <c r="AA42" s="336">
        <v>0</v>
      </c>
      <c r="AB42" s="336">
        <v>0</v>
      </c>
      <c r="AC42" s="336">
        <v>0</v>
      </c>
      <c r="AD42" s="336">
        <v>0</v>
      </c>
      <c r="AE42" s="336">
        <v>0</v>
      </c>
    </row>
    <row r="43" spans="1:32" ht="12" customHeight="1" x14ac:dyDescent="0.2">
      <c r="A43" s="145" t="s">
        <v>51</v>
      </c>
      <c r="B43" s="145" t="s">
        <v>366</v>
      </c>
      <c r="C43" s="156">
        <v>35</v>
      </c>
      <c r="D43" s="157"/>
      <c r="E43" s="157"/>
      <c r="F43" s="157">
        <v>0</v>
      </c>
      <c r="G43" s="157">
        <v>0</v>
      </c>
      <c r="H43" s="157">
        <v>0</v>
      </c>
      <c r="I43" s="157">
        <v>0</v>
      </c>
      <c r="J43" s="157">
        <v>0</v>
      </c>
      <c r="K43" s="157">
        <v>0</v>
      </c>
      <c r="L43" s="157">
        <v>0</v>
      </c>
      <c r="M43" s="157">
        <v>0</v>
      </c>
      <c r="N43" s="157">
        <v>0</v>
      </c>
      <c r="O43" s="157">
        <v>0</v>
      </c>
      <c r="P43" s="157">
        <v>0</v>
      </c>
      <c r="Q43" s="157">
        <v>0</v>
      </c>
      <c r="R43" s="157">
        <v>0</v>
      </c>
      <c r="S43" s="157">
        <v>0</v>
      </c>
      <c r="T43" s="157">
        <v>0</v>
      </c>
      <c r="U43" s="157">
        <v>0</v>
      </c>
      <c r="V43" s="314"/>
      <c r="W43" s="329">
        <v>2</v>
      </c>
      <c r="X43" s="330" t="s">
        <v>366</v>
      </c>
      <c r="Y43" s="331">
        <v>35</v>
      </c>
      <c r="Z43" s="332">
        <v>0</v>
      </c>
      <c r="AA43" s="332">
        <v>0</v>
      </c>
      <c r="AB43" s="332">
        <v>0</v>
      </c>
      <c r="AC43" s="332">
        <v>0</v>
      </c>
      <c r="AD43" s="332">
        <v>0</v>
      </c>
      <c r="AE43" s="332">
        <v>0</v>
      </c>
    </row>
    <row r="44" spans="1:32" ht="12" customHeight="1" x14ac:dyDescent="0.2">
      <c r="A44" s="145" t="s">
        <v>52</v>
      </c>
      <c r="B44" s="145" t="s">
        <v>367</v>
      </c>
      <c r="C44" s="156">
        <v>36</v>
      </c>
      <c r="D44" s="157"/>
      <c r="E44" s="157"/>
      <c r="F44" s="157">
        <v>0</v>
      </c>
      <c r="G44" s="157">
        <v>0</v>
      </c>
      <c r="H44" s="157">
        <v>0</v>
      </c>
      <c r="I44" s="157">
        <v>0</v>
      </c>
      <c r="J44" s="157">
        <v>0</v>
      </c>
      <c r="K44" s="157">
        <v>0</v>
      </c>
      <c r="L44" s="157">
        <v>0</v>
      </c>
      <c r="M44" s="157">
        <v>0</v>
      </c>
      <c r="N44" s="157">
        <v>0</v>
      </c>
      <c r="O44" s="157">
        <v>0</v>
      </c>
      <c r="P44" s="157">
        <v>0</v>
      </c>
      <c r="Q44" s="157">
        <v>0</v>
      </c>
      <c r="R44" s="157">
        <v>0</v>
      </c>
      <c r="S44" s="157">
        <v>0</v>
      </c>
      <c r="T44" s="157">
        <v>0</v>
      </c>
      <c r="U44" s="157">
        <v>0</v>
      </c>
      <c r="V44" s="314"/>
      <c r="W44" s="333">
        <v>3</v>
      </c>
      <c r="X44" s="334" t="s">
        <v>367</v>
      </c>
      <c r="Y44" s="335">
        <v>36</v>
      </c>
      <c r="Z44" s="336">
        <v>0</v>
      </c>
      <c r="AA44" s="336">
        <v>0</v>
      </c>
      <c r="AB44" s="336">
        <v>0</v>
      </c>
      <c r="AC44" s="336">
        <v>0</v>
      </c>
      <c r="AD44" s="336">
        <v>0</v>
      </c>
      <c r="AE44" s="336">
        <v>0</v>
      </c>
    </row>
    <row r="45" spans="1:32" ht="12" customHeight="1" x14ac:dyDescent="0.2">
      <c r="A45" s="145" t="s">
        <v>27</v>
      </c>
      <c r="B45" s="145" t="s">
        <v>176</v>
      </c>
      <c r="C45" s="156">
        <v>37</v>
      </c>
      <c r="D45" s="157"/>
      <c r="E45" s="157"/>
      <c r="F45" s="157">
        <v>0</v>
      </c>
      <c r="G45" s="157">
        <v>0</v>
      </c>
      <c r="H45" s="157">
        <v>0</v>
      </c>
      <c r="I45" s="157">
        <v>0</v>
      </c>
      <c r="J45" s="157">
        <v>0</v>
      </c>
      <c r="K45" s="157">
        <v>0</v>
      </c>
      <c r="L45" s="157">
        <v>0</v>
      </c>
      <c r="M45" s="157">
        <v>0</v>
      </c>
      <c r="N45" s="157">
        <v>0</v>
      </c>
      <c r="O45" s="157">
        <v>0</v>
      </c>
      <c r="P45" s="157">
        <v>0</v>
      </c>
      <c r="Q45" s="157">
        <v>0</v>
      </c>
      <c r="R45" s="157">
        <v>0</v>
      </c>
      <c r="S45" s="157">
        <v>0</v>
      </c>
      <c r="T45" s="157">
        <v>0</v>
      </c>
      <c r="U45" s="157">
        <v>0</v>
      </c>
      <c r="V45" s="314"/>
      <c r="W45" s="329" t="s">
        <v>27</v>
      </c>
      <c r="X45" s="330" t="s">
        <v>176</v>
      </c>
      <c r="Y45" s="331">
        <v>37</v>
      </c>
      <c r="Z45" s="332">
        <v>0</v>
      </c>
      <c r="AA45" s="332">
        <v>0</v>
      </c>
      <c r="AB45" s="332">
        <v>0</v>
      </c>
      <c r="AC45" s="332">
        <v>0</v>
      </c>
      <c r="AD45" s="332">
        <v>0</v>
      </c>
      <c r="AE45" s="332">
        <v>0</v>
      </c>
    </row>
    <row r="46" spans="1:32" ht="12" customHeight="1" x14ac:dyDescent="0.2">
      <c r="A46" s="145" t="s">
        <v>28</v>
      </c>
      <c r="B46" s="145" t="s">
        <v>177</v>
      </c>
      <c r="C46" s="156">
        <v>38</v>
      </c>
      <c r="D46" s="157"/>
      <c r="E46" s="157"/>
      <c r="F46" s="157">
        <v>0</v>
      </c>
      <c r="G46" s="157">
        <v>0</v>
      </c>
      <c r="H46" s="157">
        <v>0</v>
      </c>
      <c r="I46" s="157">
        <v>0</v>
      </c>
      <c r="J46" s="157">
        <v>0</v>
      </c>
      <c r="K46" s="157">
        <v>0</v>
      </c>
      <c r="L46" s="157">
        <v>0</v>
      </c>
      <c r="M46" s="157">
        <v>0</v>
      </c>
      <c r="N46" s="157">
        <v>0</v>
      </c>
      <c r="O46" s="157">
        <v>0</v>
      </c>
      <c r="P46" s="157">
        <v>0</v>
      </c>
      <c r="Q46" s="157">
        <v>0</v>
      </c>
      <c r="R46" s="157">
        <v>0</v>
      </c>
      <c r="S46" s="157">
        <v>0</v>
      </c>
      <c r="T46" s="157">
        <v>0</v>
      </c>
      <c r="U46" s="157">
        <v>0</v>
      </c>
      <c r="V46" s="314"/>
      <c r="W46" s="333" t="s">
        <v>28</v>
      </c>
      <c r="X46" s="334" t="s">
        <v>177</v>
      </c>
      <c r="Y46" s="335">
        <v>38</v>
      </c>
      <c r="Z46" s="336">
        <v>0</v>
      </c>
      <c r="AA46" s="336">
        <v>0</v>
      </c>
      <c r="AB46" s="336">
        <v>0</v>
      </c>
      <c r="AC46" s="336">
        <v>0</v>
      </c>
      <c r="AD46" s="336">
        <v>0</v>
      </c>
      <c r="AE46" s="336">
        <v>0</v>
      </c>
    </row>
    <row r="47" spans="1:32" ht="12" customHeight="1" x14ac:dyDescent="0.2">
      <c r="A47" s="145" t="s">
        <v>29</v>
      </c>
      <c r="B47" s="145" t="s">
        <v>368</v>
      </c>
      <c r="C47" s="156">
        <v>39</v>
      </c>
      <c r="D47" s="157"/>
      <c r="E47" s="157"/>
      <c r="F47" s="157">
        <v>3915</v>
      </c>
      <c r="G47" s="157">
        <v>0</v>
      </c>
      <c r="H47" s="157">
        <v>0</v>
      </c>
      <c r="I47" s="157">
        <v>0</v>
      </c>
      <c r="J47" s="157">
        <v>0</v>
      </c>
      <c r="K47" s="157">
        <v>0</v>
      </c>
      <c r="L47" s="157">
        <v>0</v>
      </c>
      <c r="M47" s="157">
        <v>0</v>
      </c>
      <c r="N47" s="157">
        <v>0</v>
      </c>
      <c r="O47" s="157">
        <v>66896.45</v>
      </c>
      <c r="P47" s="157">
        <v>46776.53</v>
      </c>
      <c r="Q47" s="157">
        <v>9046.7199999999993</v>
      </c>
      <c r="R47" s="157">
        <v>0</v>
      </c>
      <c r="S47" s="157">
        <v>0</v>
      </c>
      <c r="T47" s="157">
        <v>0</v>
      </c>
      <c r="U47" s="157">
        <v>0</v>
      </c>
      <c r="V47" s="314"/>
      <c r="W47" s="329" t="s">
        <v>29</v>
      </c>
      <c r="X47" s="330" t="s">
        <v>368</v>
      </c>
      <c r="Y47" s="331">
        <v>39</v>
      </c>
      <c r="Z47" s="332">
        <v>0</v>
      </c>
      <c r="AA47" s="332">
        <v>0</v>
      </c>
      <c r="AB47" s="332">
        <v>0</v>
      </c>
      <c r="AC47" s="332">
        <v>0</v>
      </c>
      <c r="AD47" s="332">
        <v>0</v>
      </c>
      <c r="AE47" s="332">
        <v>0</v>
      </c>
    </row>
    <row r="48" spans="1:32" ht="12" customHeight="1" x14ac:dyDescent="0.2">
      <c r="A48" s="145" t="s">
        <v>30</v>
      </c>
      <c r="B48" s="145" t="s">
        <v>369</v>
      </c>
      <c r="C48" s="156">
        <v>40</v>
      </c>
      <c r="D48" s="157"/>
      <c r="E48" s="157"/>
      <c r="F48" s="157">
        <v>1950</v>
      </c>
      <c r="G48" s="157">
        <v>0</v>
      </c>
      <c r="H48" s="157">
        <v>0</v>
      </c>
      <c r="I48" s="157">
        <v>0</v>
      </c>
      <c r="J48" s="157">
        <v>0</v>
      </c>
      <c r="K48" s="157">
        <v>0</v>
      </c>
      <c r="L48" s="157">
        <v>0</v>
      </c>
      <c r="M48" s="157">
        <v>0</v>
      </c>
      <c r="N48" s="157">
        <v>122719.7</v>
      </c>
      <c r="O48" s="157">
        <v>0</v>
      </c>
      <c r="P48" s="157">
        <v>0</v>
      </c>
      <c r="Q48" s="157">
        <v>0</v>
      </c>
      <c r="R48" s="157">
        <v>0</v>
      </c>
      <c r="S48" s="157">
        <v>0</v>
      </c>
      <c r="T48" s="157">
        <v>0</v>
      </c>
      <c r="U48" s="157">
        <v>0</v>
      </c>
      <c r="V48" s="314"/>
      <c r="W48" s="333" t="s">
        <v>30</v>
      </c>
      <c r="X48" s="334" t="s">
        <v>369</v>
      </c>
      <c r="Y48" s="335">
        <v>40</v>
      </c>
      <c r="Z48" s="336">
        <v>0</v>
      </c>
      <c r="AA48" s="336">
        <v>0</v>
      </c>
      <c r="AB48" s="336">
        <v>0</v>
      </c>
      <c r="AC48" s="336">
        <v>0</v>
      </c>
      <c r="AD48" s="336">
        <v>0</v>
      </c>
      <c r="AE48" s="336">
        <v>0</v>
      </c>
      <c r="AF48" s="311"/>
    </row>
    <row r="49" spans="1:32" ht="12" customHeight="1" x14ac:dyDescent="0.2">
      <c r="A49" s="145" t="s">
        <v>32</v>
      </c>
      <c r="B49" s="145" t="s">
        <v>370</v>
      </c>
      <c r="C49" s="156">
        <v>41</v>
      </c>
      <c r="D49" s="157"/>
      <c r="E49" s="157"/>
      <c r="F49" s="157">
        <v>0</v>
      </c>
      <c r="G49" s="157">
        <v>0</v>
      </c>
      <c r="H49" s="157">
        <v>0</v>
      </c>
      <c r="I49" s="157">
        <v>0</v>
      </c>
      <c r="J49" s="157">
        <v>0</v>
      </c>
      <c r="K49" s="157">
        <v>0</v>
      </c>
      <c r="L49" s="157">
        <v>0</v>
      </c>
      <c r="M49" s="157">
        <v>0</v>
      </c>
      <c r="N49" s="157">
        <v>0</v>
      </c>
      <c r="O49" s="157">
        <v>0</v>
      </c>
      <c r="P49" s="157">
        <v>0</v>
      </c>
      <c r="Q49" s="157">
        <v>0</v>
      </c>
      <c r="R49" s="157">
        <v>0</v>
      </c>
      <c r="S49" s="157">
        <v>0</v>
      </c>
      <c r="T49" s="157">
        <v>0</v>
      </c>
      <c r="U49" s="157">
        <v>0</v>
      </c>
      <c r="V49" s="314"/>
      <c r="W49" s="329" t="s">
        <v>32</v>
      </c>
      <c r="X49" s="330" t="s">
        <v>370</v>
      </c>
      <c r="Y49" s="331">
        <v>41</v>
      </c>
      <c r="Z49" s="332">
        <v>0</v>
      </c>
      <c r="AA49" s="332">
        <v>0</v>
      </c>
      <c r="AB49" s="332">
        <v>0</v>
      </c>
      <c r="AC49" s="332">
        <v>0</v>
      </c>
      <c r="AD49" s="332">
        <v>0</v>
      </c>
      <c r="AE49" s="332">
        <v>0</v>
      </c>
    </row>
    <row r="50" spans="1:32" ht="12" x14ac:dyDescent="0.2">
      <c r="A50" s="145" t="s">
        <v>31</v>
      </c>
      <c r="B50" s="145" t="s">
        <v>180</v>
      </c>
      <c r="C50" s="156">
        <v>42</v>
      </c>
      <c r="D50" s="157">
        <v>3000</v>
      </c>
      <c r="E50" s="157">
        <v>4000</v>
      </c>
      <c r="F50" s="157">
        <v>8243.73</v>
      </c>
      <c r="G50" s="157">
        <v>2607.3000000000002</v>
      </c>
      <c r="H50" s="157">
        <v>3744.29</v>
      </c>
      <c r="I50" s="157">
        <v>3871.84</v>
      </c>
      <c r="J50" s="157">
        <v>889.77</v>
      </c>
      <c r="K50" s="157">
        <v>553.35</v>
      </c>
      <c r="L50" s="157">
        <v>7820.38</v>
      </c>
      <c r="M50" s="157">
        <v>253.41</v>
      </c>
      <c r="N50" s="157">
        <v>82</v>
      </c>
      <c r="O50" s="157">
        <v>326</v>
      </c>
      <c r="P50" s="157">
        <v>1503</v>
      </c>
      <c r="Q50" s="157">
        <v>544</v>
      </c>
      <c r="R50" s="157">
        <v>628</v>
      </c>
      <c r="S50" s="157">
        <v>2800</v>
      </c>
      <c r="T50" s="157">
        <v>3280</v>
      </c>
      <c r="U50" s="157">
        <v>0</v>
      </c>
      <c r="V50" s="314"/>
      <c r="W50" s="333" t="s">
        <v>31</v>
      </c>
      <c r="X50" s="334" t="s">
        <v>180</v>
      </c>
      <c r="Y50" s="335">
        <v>42</v>
      </c>
      <c r="Z50" s="336">
        <v>0</v>
      </c>
      <c r="AA50" s="336">
        <v>0</v>
      </c>
      <c r="AB50" s="336">
        <v>0</v>
      </c>
      <c r="AC50" s="336">
        <v>3280</v>
      </c>
      <c r="AD50" s="336">
        <v>0</v>
      </c>
      <c r="AE50" s="336">
        <v>3280</v>
      </c>
    </row>
    <row r="51" spans="1:32" ht="12" x14ac:dyDescent="0.2">
      <c r="A51" s="145" t="s">
        <v>33</v>
      </c>
      <c r="B51" s="145" t="s">
        <v>181</v>
      </c>
      <c r="C51" s="156">
        <v>43</v>
      </c>
      <c r="D51" s="157">
        <v>264000</v>
      </c>
      <c r="E51" s="157">
        <v>1000</v>
      </c>
      <c r="F51" s="157">
        <v>89913.75</v>
      </c>
      <c r="G51" s="157">
        <v>46155.89</v>
      </c>
      <c r="H51" s="157">
        <v>114120.3</v>
      </c>
      <c r="I51" s="157">
        <v>493245.6</v>
      </c>
      <c r="J51" s="157">
        <v>583935.5</v>
      </c>
      <c r="K51" s="157">
        <v>467092.58</v>
      </c>
      <c r="L51" s="157">
        <v>747832.12</v>
      </c>
      <c r="M51" s="157">
        <v>836734.27</v>
      </c>
      <c r="N51" s="157">
        <v>666206.06000000006</v>
      </c>
      <c r="O51" s="157">
        <v>454991.94</v>
      </c>
      <c r="P51" s="157">
        <v>368334.56</v>
      </c>
      <c r="Q51" s="157">
        <v>191470.24</v>
      </c>
      <c r="R51" s="157">
        <v>308575.24</v>
      </c>
      <c r="S51" s="157">
        <v>1379429.79</v>
      </c>
      <c r="T51" s="157">
        <v>957623.19</v>
      </c>
      <c r="U51" s="157">
        <v>636974.64</v>
      </c>
      <c r="V51" s="314"/>
      <c r="W51" s="329" t="s">
        <v>33</v>
      </c>
      <c r="X51" s="330" t="s">
        <v>181</v>
      </c>
      <c r="Y51" s="331">
        <v>43</v>
      </c>
      <c r="Z51" s="332">
        <v>636974.64</v>
      </c>
      <c r="AA51" s="332">
        <v>0</v>
      </c>
      <c r="AB51" s="332">
        <v>636974.64</v>
      </c>
      <c r="AC51" s="332">
        <v>957623.19</v>
      </c>
      <c r="AD51" s="332">
        <v>0</v>
      </c>
      <c r="AE51" s="332">
        <v>957623.19</v>
      </c>
      <c r="AF51" s="311"/>
    </row>
    <row r="52" spans="1:32" ht="12" x14ac:dyDescent="0.2">
      <c r="A52" s="145" t="s">
        <v>36</v>
      </c>
      <c r="B52" s="145" t="s">
        <v>157</v>
      </c>
      <c r="C52" s="156">
        <v>44</v>
      </c>
      <c r="D52" s="157">
        <v>185000</v>
      </c>
      <c r="E52" s="157">
        <v>2934000</v>
      </c>
      <c r="F52" s="157">
        <v>3299851.74</v>
      </c>
      <c r="G52" s="157">
        <v>3050505.54</v>
      </c>
      <c r="H52" s="157">
        <v>5647377.5499999998</v>
      </c>
      <c r="I52" s="157">
        <v>4132220.06</v>
      </c>
      <c r="J52" s="157">
        <v>8040746.4299999997</v>
      </c>
      <c r="K52" s="157">
        <v>2060220.54</v>
      </c>
      <c r="L52" s="157">
        <v>2424335.65</v>
      </c>
      <c r="M52" s="157">
        <v>378673</v>
      </c>
      <c r="N52" s="157">
        <v>5457546.7699999996</v>
      </c>
      <c r="O52" s="157">
        <v>2752128.61</v>
      </c>
      <c r="P52" s="157">
        <v>1998052.79</v>
      </c>
      <c r="Q52" s="157">
        <v>8762849.5700000003</v>
      </c>
      <c r="R52" s="157">
        <v>4384085.04</v>
      </c>
      <c r="S52" s="157">
        <v>5482166.79</v>
      </c>
      <c r="T52" s="157">
        <v>5661639.4299999997</v>
      </c>
      <c r="U52" s="157">
        <v>2152788.4</v>
      </c>
      <c r="V52" s="314"/>
      <c r="W52" s="333" t="s">
        <v>36</v>
      </c>
      <c r="X52" s="334" t="s">
        <v>157</v>
      </c>
      <c r="Y52" s="335">
        <v>44</v>
      </c>
      <c r="Z52" s="336">
        <v>2152788.4</v>
      </c>
      <c r="AA52" s="336">
        <v>0</v>
      </c>
      <c r="AB52" s="336">
        <v>2152788.4</v>
      </c>
      <c r="AC52" s="336">
        <v>5661639.4299999997</v>
      </c>
      <c r="AD52" s="336">
        <v>0</v>
      </c>
      <c r="AE52" s="336">
        <v>5661639.4299999997</v>
      </c>
      <c r="AF52" s="311"/>
    </row>
    <row r="53" spans="1:32" ht="12" x14ac:dyDescent="0.2">
      <c r="A53" s="145" t="s">
        <v>38</v>
      </c>
      <c r="B53" s="145" t="s">
        <v>158</v>
      </c>
      <c r="C53" s="156">
        <v>45</v>
      </c>
      <c r="D53" s="157">
        <v>377000</v>
      </c>
      <c r="E53" s="157">
        <v>1080000</v>
      </c>
      <c r="F53" s="157">
        <v>5271505.2699999996</v>
      </c>
      <c r="G53" s="157">
        <v>4942804.3499999996</v>
      </c>
      <c r="H53" s="157">
        <v>4788935.5599999996</v>
      </c>
      <c r="I53" s="157">
        <v>6056432.3899999997</v>
      </c>
      <c r="J53" s="157">
        <v>5220065.3899999997</v>
      </c>
      <c r="K53" s="157">
        <v>2311944.5299999998</v>
      </c>
      <c r="L53" s="157">
        <v>3734292.78</v>
      </c>
      <c r="M53" s="157">
        <v>685849.27</v>
      </c>
      <c r="N53" s="157">
        <v>5829526.4500000002</v>
      </c>
      <c r="O53" s="157">
        <v>3195108.02</v>
      </c>
      <c r="P53" s="157">
        <v>3130247.77</v>
      </c>
      <c r="Q53" s="157">
        <v>6469652.3399999999</v>
      </c>
      <c r="R53" s="157">
        <v>5457308.5099999998</v>
      </c>
      <c r="S53" s="157">
        <v>5176558.5599999996</v>
      </c>
      <c r="T53" s="157">
        <v>3805002.4</v>
      </c>
      <c r="U53" s="157">
        <v>1588297.24</v>
      </c>
      <c r="V53" s="314"/>
      <c r="W53" s="329" t="s">
        <v>38</v>
      </c>
      <c r="X53" s="330" t="s">
        <v>158</v>
      </c>
      <c r="Y53" s="331">
        <v>45</v>
      </c>
      <c r="Z53" s="332">
        <v>1588297.24</v>
      </c>
      <c r="AA53" s="332">
        <v>0</v>
      </c>
      <c r="AB53" s="332">
        <v>1588297.24</v>
      </c>
      <c r="AC53" s="332">
        <v>3805002.4</v>
      </c>
      <c r="AD53" s="332">
        <v>0</v>
      </c>
      <c r="AE53" s="332">
        <v>3805002.4</v>
      </c>
      <c r="AF53" s="311"/>
    </row>
    <row r="54" spans="1:32" ht="12" x14ac:dyDescent="0.2">
      <c r="A54" s="145" t="s">
        <v>275</v>
      </c>
      <c r="B54" s="145" t="s">
        <v>276</v>
      </c>
      <c r="C54" s="156">
        <v>46</v>
      </c>
      <c r="D54" s="157"/>
      <c r="E54" s="157"/>
      <c r="F54" s="157">
        <v>0</v>
      </c>
      <c r="G54" s="157">
        <v>0</v>
      </c>
      <c r="H54" s="157">
        <v>0</v>
      </c>
      <c r="I54" s="157">
        <v>0</v>
      </c>
      <c r="J54" s="157">
        <v>0</v>
      </c>
      <c r="K54" s="157">
        <v>0</v>
      </c>
      <c r="L54" s="157">
        <v>0</v>
      </c>
      <c r="M54" s="157">
        <v>0</v>
      </c>
      <c r="N54" s="157">
        <v>0</v>
      </c>
      <c r="O54" s="157">
        <v>0</v>
      </c>
      <c r="P54" s="157">
        <v>0</v>
      </c>
      <c r="Q54" s="157">
        <v>0</v>
      </c>
      <c r="R54" s="157">
        <v>0</v>
      </c>
      <c r="S54" s="157">
        <v>0</v>
      </c>
      <c r="T54" s="157">
        <v>0</v>
      </c>
      <c r="U54" s="157">
        <v>0</v>
      </c>
      <c r="V54" s="314"/>
      <c r="W54" s="333" t="s">
        <v>275</v>
      </c>
      <c r="X54" s="334" t="s">
        <v>276</v>
      </c>
      <c r="Y54" s="335">
        <v>46</v>
      </c>
      <c r="Z54" s="336">
        <v>0</v>
      </c>
      <c r="AA54" s="336">
        <v>0</v>
      </c>
      <c r="AB54" s="336">
        <v>0</v>
      </c>
      <c r="AC54" s="336">
        <v>0</v>
      </c>
      <c r="AD54" s="336">
        <v>0</v>
      </c>
      <c r="AE54" s="336">
        <v>0</v>
      </c>
    </row>
    <row r="55" spans="1:32" ht="12" x14ac:dyDescent="0.2">
      <c r="A55" s="145" t="s">
        <v>40</v>
      </c>
      <c r="B55" s="145" t="s">
        <v>277</v>
      </c>
      <c r="C55" s="156">
        <v>47</v>
      </c>
      <c r="D55" s="157"/>
      <c r="E55" s="157"/>
      <c r="F55" s="157">
        <v>0</v>
      </c>
      <c r="G55" s="157">
        <v>0</v>
      </c>
      <c r="H55" s="157">
        <v>0</v>
      </c>
      <c r="I55" s="157">
        <v>0</v>
      </c>
      <c r="J55" s="157">
        <v>0</v>
      </c>
      <c r="K55" s="157">
        <v>0</v>
      </c>
      <c r="L55" s="157">
        <v>0</v>
      </c>
      <c r="M55" s="157">
        <v>0</v>
      </c>
      <c r="N55" s="157">
        <v>0</v>
      </c>
      <c r="O55" s="157">
        <v>0</v>
      </c>
      <c r="P55" s="157">
        <v>0</v>
      </c>
      <c r="Q55" s="157">
        <v>0</v>
      </c>
      <c r="R55" s="157">
        <v>0</v>
      </c>
      <c r="S55" s="157">
        <v>0</v>
      </c>
      <c r="T55" s="157">
        <v>0</v>
      </c>
      <c r="U55" s="157">
        <v>0</v>
      </c>
      <c r="V55" s="314"/>
      <c r="W55" s="329" t="s">
        <v>40</v>
      </c>
      <c r="X55" s="330" t="s">
        <v>277</v>
      </c>
      <c r="Y55" s="331">
        <v>47</v>
      </c>
      <c r="Z55" s="332">
        <v>0</v>
      </c>
      <c r="AA55" s="332">
        <v>0</v>
      </c>
      <c r="AB55" s="332">
        <v>0</v>
      </c>
      <c r="AC55" s="332">
        <v>0</v>
      </c>
      <c r="AD55" s="332">
        <v>0</v>
      </c>
      <c r="AE55" s="332">
        <v>0</v>
      </c>
    </row>
    <row r="56" spans="1:32" ht="12" customHeight="1" x14ac:dyDescent="0.2">
      <c r="A56" s="145" t="s">
        <v>363</v>
      </c>
      <c r="B56" s="145" t="s">
        <v>182</v>
      </c>
      <c r="C56" s="156">
        <v>48</v>
      </c>
      <c r="D56" s="157">
        <v>-453000</v>
      </c>
      <c r="E56" s="157">
        <v>1857000</v>
      </c>
      <c r="F56" s="157">
        <v>-2051358.55</v>
      </c>
      <c r="G56" s="157">
        <v>-1935847.4</v>
      </c>
      <c r="H56" s="157">
        <v>748065.98</v>
      </c>
      <c r="I56" s="157">
        <v>-2413586.09</v>
      </c>
      <c r="J56" s="157">
        <v>2237635.31</v>
      </c>
      <c r="K56" s="157">
        <v>-718263.22</v>
      </c>
      <c r="L56" s="157">
        <v>-2049968.87</v>
      </c>
      <c r="M56" s="157">
        <v>-1143657.1299999999</v>
      </c>
      <c r="N56" s="157">
        <v>-1160823.44</v>
      </c>
      <c r="O56" s="157">
        <v>-830748.9</v>
      </c>
      <c r="P56" s="157">
        <v>-1452250.01</v>
      </c>
      <c r="Q56" s="157">
        <v>2111317.71</v>
      </c>
      <c r="R56" s="157">
        <v>-1381170.71</v>
      </c>
      <c r="S56" s="157">
        <v>-1071021.56</v>
      </c>
      <c r="T56" s="157">
        <v>902293.84</v>
      </c>
      <c r="U56" s="157">
        <v>-72483.48</v>
      </c>
      <c r="V56" s="314"/>
      <c r="W56" s="333" t="s">
        <v>363</v>
      </c>
      <c r="X56" s="334" t="s">
        <v>182</v>
      </c>
      <c r="Y56" s="335">
        <v>48</v>
      </c>
      <c r="Z56" s="336">
        <v>-72483.48</v>
      </c>
      <c r="AA56" s="336">
        <v>0</v>
      </c>
      <c r="AB56" s="336">
        <v>-72483.48</v>
      </c>
      <c r="AC56" s="336">
        <v>902293.84</v>
      </c>
      <c r="AD56" s="336">
        <v>0</v>
      </c>
      <c r="AE56" s="336">
        <v>902293.84</v>
      </c>
      <c r="AF56" s="311"/>
    </row>
    <row r="57" spans="1:32" ht="12" customHeight="1" x14ac:dyDescent="0.2">
      <c r="A57" s="145" t="s">
        <v>183</v>
      </c>
      <c r="B57" s="145" t="s">
        <v>371</v>
      </c>
      <c r="C57" s="156">
        <v>49</v>
      </c>
      <c r="D57" s="157">
        <v>45000</v>
      </c>
      <c r="E57" s="157">
        <v>2704000</v>
      </c>
      <c r="F57" s="157">
        <v>2585200</v>
      </c>
      <c r="G57" s="157">
        <v>72760</v>
      </c>
      <c r="H57" s="157">
        <v>2683800</v>
      </c>
      <c r="I57" s="157">
        <v>825320</v>
      </c>
      <c r="J57" s="157">
        <v>4177720</v>
      </c>
      <c r="K57" s="157">
        <v>4813000</v>
      </c>
      <c r="L57" s="157">
        <v>6466220</v>
      </c>
      <c r="M57" s="157">
        <v>2668462.36</v>
      </c>
      <c r="N57" s="157">
        <v>1300608.9099999999</v>
      </c>
      <c r="O57" s="157">
        <v>3485393.79</v>
      </c>
      <c r="P57" s="157">
        <v>4242229.47</v>
      </c>
      <c r="Q57" s="157">
        <v>205537.04</v>
      </c>
      <c r="R57" s="157">
        <v>98490.72</v>
      </c>
      <c r="S57" s="157">
        <v>105709.86</v>
      </c>
      <c r="T57" s="157">
        <v>1079426.02</v>
      </c>
      <c r="U57" s="157">
        <v>0</v>
      </c>
      <c r="V57" s="314"/>
      <c r="W57" s="329" t="s">
        <v>183</v>
      </c>
      <c r="X57" s="330" t="s">
        <v>371</v>
      </c>
      <c r="Y57" s="331">
        <v>49</v>
      </c>
      <c r="Z57" s="332">
        <v>0</v>
      </c>
      <c r="AA57" s="332">
        <v>0</v>
      </c>
      <c r="AB57" s="332">
        <v>0</v>
      </c>
      <c r="AC57" s="332">
        <v>1079426.02</v>
      </c>
      <c r="AD57" s="332">
        <v>0</v>
      </c>
      <c r="AE57" s="332">
        <v>1079426.02</v>
      </c>
      <c r="AF57" s="311"/>
    </row>
    <row r="58" spans="1:32" ht="12" x14ac:dyDescent="0.2">
      <c r="A58" s="145" t="s">
        <v>372</v>
      </c>
      <c r="B58" s="145" t="s">
        <v>373</v>
      </c>
      <c r="C58" s="156">
        <v>50</v>
      </c>
      <c r="D58" s="157">
        <v>45000</v>
      </c>
      <c r="E58" s="157">
        <v>2704000</v>
      </c>
      <c r="F58" s="157">
        <v>2585200</v>
      </c>
      <c r="G58" s="157">
        <v>72760</v>
      </c>
      <c r="H58" s="157">
        <v>2683800</v>
      </c>
      <c r="I58" s="157">
        <v>825320</v>
      </c>
      <c r="J58" s="157">
        <v>4177720</v>
      </c>
      <c r="K58" s="157">
        <v>4813000</v>
      </c>
      <c r="L58" s="157">
        <v>6466220</v>
      </c>
      <c r="M58" s="157">
        <v>2668462.36</v>
      </c>
      <c r="N58" s="157">
        <v>1300608.9099999999</v>
      </c>
      <c r="O58" s="157">
        <v>3485393.79</v>
      </c>
      <c r="P58" s="157">
        <v>4242229.47</v>
      </c>
      <c r="Q58" s="157">
        <v>205537.04</v>
      </c>
      <c r="R58" s="157">
        <v>98490.72</v>
      </c>
      <c r="S58" s="157">
        <v>105709.86</v>
      </c>
      <c r="T58" s="157">
        <v>1079426.02</v>
      </c>
      <c r="U58" s="157">
        <v>0</v>
      </c>
      <c r="V58" s="314"/>
      <c r="W58" s="333" t="s">
        <v>372</v>
      </c>
      <c r="X58" s="334" t="e" cm="1">
        <f t="array" ref="X58">- splatná</f>
        <v>#NAME?</v>
      </c>
      <c r="Y58" s="335">
        <v>50</v>
      </c>
      <c r="Z58" s="336">
        <v>0</v>
      </c>
      <c r="AA58" s="336">
        <v>0</v>
      </c>
      <c r="AB58" s="336">
        <v>0</v>
      </c>
      <c r="AC58" s="336">
        <v>1079426.02</v>
      </c>
      <c r="AD58" s="336">
        <v>0</v>
      </c>
      <c r="AE58" s="336">
        <v>1079426.02</v>
      </c>
      <c r="AF58" s="311"/>
    </row>
    <row r="59" spans="1:32" ht="12" x14ac:dyDescent="0.2">
      <c r="A59" s="145" t="s">
        <v>51</v>
      </c>
      <c r="B59" s="145" t="s">
        <v>374</v>
      </c>
      <c r="C59" s="156">
        <v>51</v>
      </c>
      <c r="D59" s="157"/>
      <c r="E59" s="157"/>
      <c r="F59" s="157">
        <v>0</v>
      </c>
      <c r="G59" s="157">
        <v>0</v>
      </c>
      <c r="H59" s="157">
        <v>0</v>
      </c>
      <c r="I59" s="157">
        <v>0</v>
      </c>
      <c r="J59" s="157">
        <v>0</v>
      </c>
      <c r="K59" s="157">
        <v>0</v>
      </c>
      <c r="L59" s="157">
        <v>0</v>
      </c>
      <c r="M59" s="157">
        <v>0</v>
      </c>
      <c r="N59" s="157">
        <v>0</v>
      </c>
      <c r="O59" s="157">
        <v>0</v>
      </c>
      <c r="P59" s="157">
        <v>0</v>
      </c>
      <c r="Q59" s="157">
        <v>0</v>
      </c>
      <c r="R59" s="157">
        <v>0</v>
      </c>
      <c r="S59" s="157">
        <v>0</v>
      </c>
      <c r="T59" s="157">
        <v>0</v>
      </c>
      <c r="U59" s="157">
        <v>0</v>
      </c>
      <c r="V59" s="314"/>
      <c r="W59" s="329">
        <v>2</v>
      </c>
      <c r="X59" s="330" t="e" cm="1">
        <f t="array" ref="X59">- odložená</f>
        <v>#NAME?</v>
      </c>
      <c r="Y59" s="331">
        <v>51</v>
      </c>
      <c r="Z59" s="332">
        <v>0</v>
      </c>
      <c r="AA59" s="332">
        <v>0</v>
      </c>
      <c r="AB59" s="332">
        <v>0</v>
      </c>
      <c r="AC59" s="332">
        <v>0</v>
      </c>
      <c r="AD59" s="332">
        <v>0</v>
      </c>
      <c r="AE59" s="332">
        <v>0</v>
      </c>
    </row>
    <row r="60" spans="1:32" ht="12" customHeight="1" x14ac:dyDescent="0.2">
      <c r="A60" s="145" t="s">
        <v>375</v>
      </c>
      <c r="B60" s="145" t="s">
        <v>376</v>
      </c>
      <c r="C60" s="156">
        <v>52</v>
      </c>
      <c r="D60" s="157">
        <v>90000</v>
      </c>
      <c r="E60" s="157">
        <v>9952000</v>
      </c>
      <c r="F60" s="157">
        <v>10207320</v>
      </c>
      <c r="G60" s="157">
        <v>364960.77</v>
      </c>
      <c r="H60" s="157">
        <v>10946788.699999999</v>
      </c>
      <c r="I60" s="157">
        <v>3465719.58</v>
      </c>
      <c r="J60" s="157">
        <v>17693028.050000001</v>
      </c>
      <c r="K60" s="157">
        <v>20139726.129999999</v>
      </c>
      <c r="L60" s="157">
        <v>27464244.969999999</v>
      </c>
      <c r="M60" s="157">
        <v>11279744.99</v>
      </c>
      <c r="N60" s="157">
        <v>5099929.17</v>
      </c>
      <c r="O60" s="157">
        <v>14000915.26</v>
      </c>
      <c r="P60" s="157">
        <v>16862279.300000001</v>
      </c>
      <c r="Q60" s="157">
        <v>747380.92</v>
      </c>
      <c r="R60" s="157">
        <v>-1429312.8</v>
      </c>
      <c r="S60" s="157">
        <v>122557.33</v>
      </c>
      <c r="T60" s="157">
        <v>4661269.6399999997</v>
      </c>
      <c r="U60" s="157">
        <v>16997753.489999998</v>
      </c>
      <c r="V60" s="314"/>
      <c r="W60" s="333" t="s">
        <v>375</v>
      </c>
      <c r="X60" s="334" t="s">
        <v>376</v>
      </c>
      <c r="Y60" s="335">
        <v>52</v>
      </c>
      <c r="Z60" s="336">
        <v>16997753.489999998</v>
      </c>
      <c r="AA60" s="336">
        <v>0</v>
      </c>
      <c r="AB60" s="336">
        <v>16997753.489999998</v>
      </c>
      <c r="AC60" s="336">
        <v>4661269.6399999997</v>
      </c>
      <c r="AD60" s="336">
        <v>0</v>
      </c>
      <c r="AE60" s="336">
        <v>4661269.6399999997</v>
      </c>
      <c r="AF60" s="311"/>
    </row>
    <row r="61" spans="1:32" ht="12" x14ac:dyDescent="0.2">
      <c r="A61" s="145" t="s">
        <v>187</v>
      </c>
      <c r="B61" s="145" t="s">
        <v>37</v>
      </c>
      <c r="C61" s="156">
        <v>53</v>
      </c>
      <c r="D61" s="157"/>
      <c r="E61" s="157"/>
      <c r="F61" s="157">
        <v>0</v>
      </c>
      <c r="G61" s="157">
        <v>0</v>
      </c>
      <c r="H61" s="157">
        <v>0</v>
      </c>
      <c r="I61" s="157">
        <v>0</v>
      </c>
      <c r="J61" s="157">
        <v>0</v>
      </c>
      <c r="K61" s="157">
        <v>0</v>
      </c>
      <c r="L61" s="157">
        <v>0</v>
      </c>
      <c r="M61" s="157">
        <v>0</v>
      </c>
      <c r="N61" s="157">
        <v>0</v>
      </c>
      <c r="O61" s="157">
        <v>0</v>
      </c>
      <c r="P61" s="157">
        <v>0</v>
      </c>
      <c r="Q61" s="157">
        <v>0</v>
      </c>
      <c r="R61" s="157">
        <v>0</v>
      </c>
      <c r="S61" s="157">
        <v>0</v>
      </c>
      <c r="T61" s="157">
        <v>0</v>
      </c>
      <c r="U61" s="157">
        <v>0</v>
      </c>
      <c r="V61" s="314"/>
      <c r="W61" s="329" t="s">
        <v>187</v>
      </c>
      <c r="X61" s="330" t="s">
        <v>37</v>
      </c>
      <c r="Y61" s="331">
        <v>53</v>
      </c>
      <c r="Z61" s="332">
        <v>0</v>
      </c>
      <c r="AA61" s="332">
        <v>0</v>
      </c>
      <c r="AB61" s="332">
        <v>0</v>
      </c>
      <c r="AC61" s="332">
        <v>0</v>
      </c>
      <c r="AD61" s="332">
        <v>0</v>
      </c>
      <c r="AE61" s="332">
        <v>0</v>
      </c>
    </row>
    <row r="62" spans="1:32" ht="12" x14ac:dyDescent="0.2">
      <c r="A62" s="145" t="s">
        <v>42</v>
      </c>
      <c r="B62" s="145" t="s">
        <v>39</v>
      </c>
      <c r="C62" s="156">
        <v>54</v>
      </c>
      <c r="D62" s="157"/>
      <c r="E62" s="157"/>
      <c r="F62" s="157">
        <v>0</v>
      </c>
      <c r="G62" s="157">
        <v>0</v>
      </c>
      <c r="H62" s="157">
        <v>0</v>
      </c>
      <c r="I62" s="157">
        <v>0</v>
      </c>
      <c r="J62" s="157">
        <v>0</v>
      </c>
      <c r="K62" s="157">
        <v>0</v>
      </c>
      <c r="L62" s="157">
        <v>0</v>
      </c>
      <c r="M62" s="157">
        <v>0</v>
      </c>
      <c r="N62" s="157">
        <v>-26346</v>
      </c>
      <c r="O62" s="157">
        <v>-239514</v>
      </c>
      <c r="P62" s="157">
        <v>41638</v>
      </c>
      <c r="Q62" s="157">
        <v>-86913</v>
      </c>
      <c r="R62" s="157">
        <v>-1461414.37</v>
      </c>
      <c r="S62" s="157">
        <v>-72418</v>
      </c>
      <c r="T62" s="157">
        <v>20828.68</v>
      </c>
      <c r="U62" s="157">
        <v>80627</v>
      </c>
      <c r="V62" s="314"/>
      <c r="W62" s="333" t="s">
        <v>42</v>
      </c>
      <c r="X62" s="334" t="s">
        <v>39</v>
      </c>
      <c r="Y62" s="335">
        <v>54</v>
      </c>
      <c r="Z62" s="336">
        <v>80627</v>
      </c>
      <c r="AA62" s="336">
        <v>0</v>
      </c>
      <c r="AB62" s="336">
        <v>80627</v>
      </c>
      <c r="AC62" s="336">
        <v>20828.68</v>
      </c>
      <c r="AD62" s="336">
        <v>0</v>
      </c>
      <c r="AE62" s="336">
        <v>20828.68</v>
      </c>
      <c r="AF62" s="311"/>
    </row>
    <row r="63" spans="1:32" ht="12" customHeight="1" x14ac:dyDescent="0.2">
      <c r="A63" s="145" t="s">
        <v>188</v>
      </c>
      <c r="B63" s="145" t="s">
        <v>377</v>
      </c>
      <c r="C63" s="156">
        <v>55</v>
      </c>
      <c r="D63" s="157"/>
      <c r="E63" s="157"/>
      <c r="F63" s="157">
        <v>0</v>
      </c>
      <c r="G63" s="157">
        <v>0</v>
      </c>
      <c r="H63" s="157">
        <v>0</v>
      </c>
      <c r="I63" s="157">
        <v>0</v>
      </c>
      <c r="J63" s="157">
        <v>0</v>
      </c>
      <c r="K63" s="157">
        <v>0</v>
      </c>
      <c r="L63" s="157">
        <v>0</v>
      </c>
      <c r="M63" s="157">
        <v>0</v>
      </c>
      <c r="N63" s="157">
        <v>0</v>
      </c>
      <c r="O63" s="157">
        <v>0</v>
      </c>
      <c r="P63" s="157">
        <v>0</v>
      </c>
      <c r="Q63" s="157">
        <v>0</v>
      </c>
      <c r="R63" s="157">
        <v>0</v>
      </c>
      <c r="S63" s="157">
        <v>0</v>
      </c>
      <c r="T63" s="157">
        <v>0</v>
      </c>
      <c r="U63" s="157">
        <v>0</v>
      </c>
      <c r="V63" s="314"/>
      <c r="W63" s="329" t="s">
        <v>188</v>
      </c>
      <c r="X63" s="330" t="s">
        <v>377</v>
      </c>
      <c r="Y63" s="331">
        <v>55</v>
      </c>
      <c r="Z63" s="332">
        <v>0</v>
      </c>
      <c r="AA63" s="332">
        <v>0</v>
      </c>
      <c r="AB63" s="332">
        <v>0</v>
      </c>
      <c r="AC63" s="332">
        <v>0</v>
      </c>
      <c r="AD63" s="332">
        <v>0</v>
      </c>
      <c r="AE63" s="332">
        <v>0</v>
      </c>
    </row>
    <row r="64" spans="1:32" ht="12" x14ac:dyDescent="0.2">
      <c r="A64" s="145" t="s">
        <v>378</v>
      </c>
      <c r="B64" s="145" t="s">
        <v>373</v>
      </c>
      <c r="C64" s="156">
        <v>56</v>
      </c>
      <c r="D64" s="157"/>
      <c r="E64" s="157"/>
      <c r="F64" s="157">
        <v>0</v>
      </c>
      <c r="G64" s="157">
        <v>0</v>
      </c>
      <c r="H64" s="157">
        <v>0</v>
      </c>
      <c r="I64" s="157">
        <v>0</v>
      </c>
      <c r="J64" s="157">
        <v>0</v>
      </c>
      <c r="K64" s="157">
        <v>0</v>
      </c>
      <c r="L64" s="157">
        <v>0</v>
      </c>
      <c r="M64" s="157">
        <v>0</v>
      </c>
      <c r="N64" s="157">
        <v>0</v>
      </c>
      <c r="O64" s="157">
        <v>0</v>
      </c>
      <c r="P64" s="157">
        <v>0</v>
      </c>
      <c r="Q64" s="157">
        <v>0</v>
      </c>
      <c r="R64" s="157">
        <v>0</v>
      </c>
      <c r="S64" s="157">
        <v>0</v>
      </c>
      <c r="T64" s="157">
        <v>0</v>
      </c>
      <c r="U64" s="157">
        <v>0</v>
      </c>
      <c r="V64" s="314"/>
      <c r="W64" s="333" t="s">
        <v>378</v>
      </c>
      <c r="X64" s="334" t="e" cm="1">
        <f t="array" ref="X64">- splatná</f>
        <v>#NAME?</v>
      </c>
      <c r="Y64" s="335">
        <v>56</v>
      </c>
      <c r="Z64" s="336">
        <v>0</v>
      </c>
      <c r="AA64" s="336">
        <v>0</v>
      </c>
      <c r="AB64" s="336">
        <v>0</v>
      </c>
      <c r="AC64" s="336">
        <v>0</v>
      </c>
      <c r="AD64" s="336">
        <v>0</v>
      </c>
      <c r="AE64" s="336">
        <v>0</v>
      </c>
    </row>
    <row r="65" spans="1:33" ht="12" x14ac:dyDescent="0.2">
      <c r="A65" s="145" t="s">
        <v>51</v>
      </c>
      <c r="B65" s="145" t="s">
        <v>374</v>
      </c>
      <c r="C65" s="156">
        <v>57</v>
      </c>
      <c r="D65" s="157"/>
      <c r="E65" s="157"/>
      <c r="F65" s="157">
        <v>0</v>
      </c>
      <c r="G65" s="157">
        <v>0</v>
      </c>
      <c r="H65" s="157">
        <v>0</v>
      </c>
      <c r="I65" s="157">
        <v>0</v>
      </c>
      <c r="J65" s="157">
        <v>0</v>
      </c>
      <c r="K65" s="157">
        <v>0</v>
      </c>
      <c r="L65" s="157">
        <v>0</v>
      </c>
      <c r="M65" s="157">
        <v>0</v>
      </c>
      <c r="N65" s="157">
        <v>0</v>
      </c>
      <c r="O65" s="157">
        <v>0</v>
      </c>
      <c r="P65" s="157">
        <v>0</v>
      </c>
      <c r="Q65" s="157">
        <v>0</v>
      </c>
      <c r="R65" s="157">
        <v>0</v>
      </c>
      <c r="S65" s="157">
        <v>0</v>
      </c>
      <c r="T65" s="157">
        <v>0</v>
      </c>
      <c r="U65" s="157">
        <v>0</v>
      </c>
      <c r="V65" s="314"/>
      <c r="W65" s="329">
        <v>2</v>
      </c>
      <c r="X65" s="330" t="e" cm="1">
        <f t="array" ref="X65">- odložená</f>
        <v>#NAME?</v>
      </c>
      <c r="Y65" s="331">
        <v>57</v>
      </c>
      <c r="Z65" s="332">
        <v>0</v>
      </c>
      <c r="AA65" s="332">
        <v>0</v>
      </c>
      <c r="AB65" s="332">
        <v>0</v>
      </c>
      <c r="AC65" s="332">
        <v>0</v>
      </c>
      <c r="AD65" s="332">
        <v>0</v>
      </c>
      <c r="AE65" s="332">
        <v>0</v>
      </c>
    </row>
    <row r="66" spans="1:33" ht="12" customHeight="1" x14ac:dyDescent="0.2">
      <c r="A66" s="145" t="s">
        <v>363</v>
      </c>
      <c r="B66" s="145" t="s">
        <v>379</v>
      </c>
      <c r="C66" s="156">
        <v>58</v>
      </c>
      <c r="D66" s="157"/>
      <c r="E66" s="157"/>
      <c r="F66" s="157">
        <v>0</v>
      </c>
      <c r="G66" s="157">
        <v>0</v>
      </c>
      <c r="H66" s="157">
        <v>0</v>
      </c>
      <c r="I66" s="157">
        <v>0</v>
      </c>
      <c r="J66" s="157">
        <v>0</v>
      </c>
      <c r="K66" s="157">
        <v>0</v>
      </c>
      <c r="L66" s="157">
        <v>0</v>
      </c>
      <c r="M66" s="157">
        <v>0</v>
      </c>
      <c r="N66" s="157">
        <v>26346</v>
      </c>
      <c r="O66" s="157">
        <v>239514</v>
      </c>
      <c r="P66" s="157">
        <v>-41638</v>
      </c>
      <c r="Q66" s="157">
        <v>86913</v>
      </c>
      <c r="R66" s="157">
        <v>1461414.37</v>
      </c>
      <c r="S66" s="157">
        <v>72418</v>
      </c>
      <c r="T66" s="157">
        <v>-20828.68</v>
      </c>
      <c r="U66" s="157">
        <v>-80627</v>
      </c>
      <c r="V66" s="314"/>
      <c r="W66" s="333" t="s">
        <v>363</v>
      </c>
      <c r="X66" s="334" t="s">
        <v>379</v>
      </c>
      <c r="Y66" s="335">
        <v>58</v>
      </c>
      <c r="Z66" s="336">
        <v>-80627</v>
      </c>
      <c r="AA66" s="336">
        <v>0</v>
      </c>
      <c r="AB66" s="336">
        <v>-80627</v>
      </c>
      <c r="AC66" s="336">
        <v>-20828.68</v>
      </c>
      <c r="AD66" s="336">
        <v>0</v>
      </c>
      <c r="AE66" s="336">
        <v>-20828.68</v>
      </c>
      <c r="AF66" s="311"/>
    </row>
    <row r="67" spans="1:33" ht="12" customHeight="1" x14ac:dyDescent="0.2">
      <c r="A67" s="145" t="s">
        <v>190</v>
      </c>
      <c r="B67" s="145" t="s">
        <v>380</v>
      </c>
      <c r="C67" s="156">
        <v>59</v>
      </c>
      <c r="D67" s="157"/>
      <c r="E67" s="157"/>
      <c r="F67" s="157">
        <v>0</v>
      </c>
      <c r="G67" s="157">
        <v>0</v>
      </c>
      <c r="H67" s="157">
        <v>0</v>
      </c>
      <c r="I67" s="157">
        <v>0</v>
      </c>
      <c r="J67" s="157">
        <v>0</v>
      </c>
      <c r="K67" s="157">
        <v>0</v>
      </c>
      <c r="L67" s="157">
        <v>0</v>
      </c>
      <c r="M67" s="157">
        <v>0</v>
      </c>
      <c r="N67" s="157">
        <v>0</v>
      </c>
      <c r="O67" s="157">
        <v>0</v>
      </c>
      <c r="P67" s="157">
        <v>0</v>
      </c>
      <c r="Q67" s="157">
        <v>0</v>
      </c>
      <c r="R67" s="157">
        <v>0</v>
      </c>
      <c r="S67" s="157">
        <v>0</v>
      </c>
      <c r="T67" s="157">
        <v>0</v>
      </c>
      <c r="U67" s="157">
        <v>0</v>
      </c>
      <c r="V67" s="314"/>
      <c r="W67" s="329" t="s">
        <v>190</v>
      </c>
      <c r="X67" s="330" t="s">
        <v>380</v>
      </c>
      <c r="Y67" s="331">
        <v>59</v>
      </c>
      <c r="Z67" s="332">
        <v>0</v>
      </c>
      <c r="AA67" s="332">
        <v>0</v>
      </c>
      <c r="AB67" s="332">
        <v>0</v>
      </c>
      <c r="AC67" s="332">
        <v>0</v>
      </c>
      <c r="AD67" s="332">
        <v>0</v>
      </c>
      <c r="AE67" s="332">
        <v>0</v>
      </c>
    </row>
    <row r="68" spans="1:33" ht="12" customHeight="1" x14ac:dyDescent="0.2">
      <c r="A68" s="145" t="s">
        <v>381</v>
      </c>
      <c r="B68" s="245" t="s">
        <v>382</v>
      </c>
      <c r="C68" s="156">
        <v>60</v>
      </c>
      <c r="D68" s="157">
        <v>90000</v>
      </c>
      <c r="E68" s="157">
        <v>9952000</v>
      </c>
      <c r="F68" s="157">
        <v>10207320</v>
      </c>
      <c r="G68" s="157">
        <v>364960.77</v>
      </c>
      <c r="H68" s="157">
        <v>10946788.699999999</v>
      </c>
      <c r="I68" s="157">
        <v>3465719.58</v>
      </c>
      <c r="J68" s="157">
        <v>17693028.050000001</v>
      </c>
      <c r="K68" s="157">
        <v>20139726.129999999</v>
      </c>
      <c r="L68" s="157">
        <v>27464244.969999999</v>
      </c>
      <c r="M68" s="157">
        <v>11279744.99</v>
      </c>
      <c r="N68" s="157">
        <v>5126275.17</v>
      </c>
      <c r="O68" s="157">
        <v>14240429.26</v>
      </c>
      <c r="P68" s="157">
        <v>16820641.300000001</v>
      </c>
      <c r="Q68" s="157">
        <v>834293.92</v>
      </c>
      <c r="R68" s="157">
        <v>32101.57</v>
      </c>
      <c r="S68" s="157">
        <v>194975.33</v>
      </c>
      <c r="T68" s="157">
        <v>4640440.96</v>
      </c>
      <c r="U68" s="157">
        <v>16917126.489999998</v>
      </c>
      <c r="V68" s="314"/>
      <c r="W68" s="333" t="s">
        <v>381</v>
      </c>
      <c r="X68" s="334" t="s">
        <v>382</v>
      </c>
      <c r="Y68" s="335">
        <v>60</v>
      </c>
      <c r="Z68" s="336">
        <v>16917126.489999998</v>
      </c>
      <c r="AA68" s="336">
        <v>0</v>
      </c>
      <c r="AB68" s="336">
        <v>16917126.489999998</v>
      </c>
      <c r="AC68" s="336">
        <v>4640440.96</v>
      </c>
      <c r="AD68" s="336">
        <v>0</v>
      </c>
      <c r="AE68" s="336">
        <v>4640440.96</v>
      </c>
      <c r="AF68" s="311"/>
    </row>
    <row r="69" spans="1:33" ht="12" customHeight="1" x14ac:dyDescent="0.2">
      <c r="A69" s="145" t="s">
        <v>383</v>
      </c>
      <c r="B69" s="145" t="s">
        <v>193</v>
      </c>
      <c r="C69" s="156">
        <v>61</v>
      </c>
      <c r="D69" s="157">
        <v>135000</v>
      </c>
      <c r="E69" s="157">
        <v>12656000</v>
      </c>
      <c r="F69" s="157">
        <v>12792520</v>
      </c>
      <c r="G69" s="157">
        <v>437720.77</v>
      </c>
      <c r="H69" s="157">
        <v>13630588.699999999</v>
      </c>
      <c r="I69" s="157">
        <v>4291039.58</v>
      </c>
      <c r="J69" s="157">
        <v>21870748.050000001</v>
      </c>
      <c r="K69" s="157">
        <v>24952726.129999999</v>
      </c>
      <c r="L69" s="157">
        <v>33930464.969999999</v>
      </c>
      <c r="M69" s="157">
        <v>13948207.35</v>
      </c>
      <c r="N69" s="157">
        <v>6426884.0800000001</v>
      </c>
      <c r="O69" s="157">
        <v>17725823.050000001</v>
      </c>
      <c r="P69" s="157">
        <v>21062870.77</v>
      </c>
      <c r="Q69" s="157">
        <v>1039830.96</v>
      </c>
      <c r="R69" s="157">
        <v>130592.29</v>
      </c>
      <c r="S69" s="157">
        <v>300685.19</v>
      </c>
      <c r="T69" s="157">
        <v>5719866.9800000004</v>
      </c>
      <c r="U69" s="157">
        <v>16917126.489999998</v>
      </c>
      <c r="V69" s="314"/>
      <c r="W69" s="329" t="s">
        <v>383</v>
      </c>
      <c r="X69" s="330" t="s">
        <v>193</v>
      </c>
      <c r="Y69" s="331">
        <v>61</v>
      </c>
      <c r="Z69" s="332">
        <v>16917126.489999998</v>
      </c>
      <c r="AA69" s="332">
        <v>0</v>
      </c>
      <c r="AB69" s="332">
        <v>16917126.489999998</v>
      </c>
      <c r="AC69" s="332">
        <v>5719866.9800000004</v>
      </c>
      <c r="AD69" s="332">
        <v>0</v>
      </c>
      <c r="AE69" s="332">
        <v>5719866.9800000004</v>
      </c>
      <c r="AF69" s="311"/>
    </row>
    <row r="73" spans="1:33" ht="15" x14ac:dyDescent="0.25">
      <c r="A73" s="154" t="s">
        <v>489</v>
      </c>
      <c r="W73" s="152" t="s">
        <v>592</v>
      </c>
      <c r="X73"/>
      <c r="Y73"/>
      <c r="Z73"/>
      <c r="AA73"/>
      <c r="AB73" s="342"/>
      <c r="AC73"/>
      <c r="AD73"/>
      <c r="AE73"/>
      <c r="AF73"/>
      <c r="AG73"/>
    </row>
    <row r="74" spans="1:33" ht="12" x14ac:dyDescent="0.2">
      <c r="A74" s="156" t="s">
        <v>340</v>
      </c>
      <c r="B74" s="156" t="s">
        <v>341</v>
      </c>
      <c r="C74" s="156" t="s">
        <v>342</v>
      </c>
      <c r="D74" s="156">
        <f>$B$1</f>
        <v>2007</v>
      </c>
      <c r="E74" s="156">
        <f>D74+1</f>
        <v>2008</v>
      </c>
      <c r="F74" s="156">
        <f t="shared" ref="F74" si="10">E74+1</f>
        <v>2009</v>
      </c>
      <c r="G74" s="156">
        <f t="shared" ref="G74" si="11">F74+1</f>
        <v>2010</v>
      </c>
      <c r="H74" s="156">
        <f t="shared" ref="H74" si="12">G74+1</f>
        <v>2011</v>
      </c>
      <c r="I74" s="156">
        <f t="shared" ref="I74:M74" si="13">H74+1</f>
        <v>2012</v>
      </c>
      <c r="J74" s="156">
        <f t="shared" si="13"/>
        <v>2013</v>
      </c>
      <c r="K74" s="156">
        <f t="shared" si="13"/>
        <v>2014</v>
      </c>
      <c r="L74" s="156">
        <f t="shared" si="13"/>
        <v>2015</v>
      </c>
      <c r="M74" s="156">
        <f t="shared" si="13"/>
        <v>2016</v>
      </c>
      <c r="N74" s="156">
        <f t="shared" ref="N74" si="14">M74+1</f>
        <v>2017</v>
      </c>
      <c r="O74" s="156">
        <f t="shared" ref="O74:U74" si="15">N74+1</f>
        <v>2018</v>
      </c>
      <c r="P74" s="156">
        <f t="shared" si="15"/>
        <v>2019</v>
      </c>
      <c r="Q74" s="156">
        <f t="shared" si="15"/>
        <v>2020</v>
      </c>
      <c r="R74" s="156">
        <f t="shared" si="15"/>
        <v>2021</v>
      </c>
      <c r="S74" s="156">
        <f t="shared" si="15"/>
        <v>2022</v>
      </c>
      <c r="T74" s="156">
        <f t="shared" si="15"/>
        <v>2023</v>
      </c>
      <c r="U74" s="156">
        <f t="shared" si="15"/>
        <v>2024</v>
      </c>
      <c r="W74" s="328" t="s">
        <v>340</v>
      </c>
      <c r="X74" s="328" t="s">
        <v>341</v>
      </c>
      <c r="Y74" s="328" t="s">
        <v>342</v>
      </c>
      <c r="Z74" s="328" t="s">
        <v>584</v>
      </c>
      <c r="AA74" s="328" t="s">
        <v>585</v>
      </c>
      <c r="AB74" s="328" t="s">
        <v>582</v>
      </c>
      <c r="AC74" s="328" t="s">
        <v>586</v>
      </c>
      <c r="AD74" s="328" t="s">
        <v>587</v>
      </c>
      <c r="AE74" s="328" t="s">
        <v>583</v>
      </c>
      <c r="AF74"/>
      <c r="AG74"/>
    </row>
    <row r="75" spans="1:33" ht="12" x14ac:dyDescent="0.2">
      <c r="A75" s="156"/>
      <c r="B75" s="156" t="s">
        <v>386</v>
      </c>
      <c r="C75" s="156">
        <v>1</v>
      </c>
      <c r="D75" s="157">
        <v>49426000</v>
      </c>
      <c r="E75" s="157">
        <v>73665000</v>
      </c>
      <c r="F75" s="157">
        <v>87129921.359999999</v>
      </c>
      <c r="G75" s="157">
        <v>89499517.159999996</v>
      </c>
      <c r="H75" s="157">
        <v>101934296.29000001</v>
      </c>
      <c r="I75" s="157">
        <v>138704022.19999999</v>
      </c>
      <c r="J75" s="157">
        <v>181861678.81999999</v>
      </c>
      <c r="K75" s="157">
        <v>196712009.30000001</v>
      </c>
      <c r="L75" s="157">
        <v>265014533.31</v>
      </c>
      <c r="M75" s="157">
        <v>305846137.31</v>
      </c>
      <c r="N75" s="157">
        <v>280447859.70999998</v>
      </c>
      <c r="O75" s="157">
        <v>264514184.81</v>
      </c>
      <c r="P75" s="157">
        <v>214822749.25999999</v>
      </c>
      <c r="Q75" s="157">
        <v>187804159.63999999</v>
      </c>
      <c r="R75" s="157">
        <v>318492731.56999999</v>
      </c>
      <c r="S75" s="157">
        <v>310269479.56</v>
      </c>
      <c r="T75" s="157">
        <v>259228002.69999999</v>
      </c>
      <c r="U75" s="157">
        <v>232312194.63</v>
      </c>
      <c r="V75" s="314"/>
      <c r="W75" s="329"/>
      <c r="X75" s="330" t="s">
        <v>386</v>
      </c>
      <c r="Y75" s="331">
        <v>1</v>
      </c>
      <c r="Z75" s="332">
        <v>964060180.12</v>
      </c>
      <c r="AA75" s="332">
        <v>-731747985.49000001</v>
      </c>
      <c r="AB75" s="332">
        <v>232312194.63</v>
      </c>
      <c r="AC75" s="332">
        <v>982354066.28999996</v>
      </c>
      <c r="AD75" s="332">
        <v>-723126063.59000003</v>
      </c>
      <c r="AE75" s="332">
        <v>259228002.69999999</v>
      </c>
      <c r="AF75"/>
      <c r="AG75"/>
    </row>
    <row r="76" spans="1:33" ht="12" x14ac:dyDescent="0.2">
      <c r="A76" s="156" t="s">
        <v>2</v>
      </c>
      <c r="B76" s="156" t="s">
        <v>387</v>
      </c>
      <c r="C76" s="156">
        <v>2</v>
      </c>
      <c r="D76" s="157"/>
      <c r="E76" s="157"/>
      <c r="F76" s="157">
        <v>0</v>
      </c>
      <c r="G76" s="157">
        <v>0</v>
      </c>
      <c r="H76" s="157">
        <v>0</v>
      </c>
      <c r="I76" s="157">
        <v>0</v>
      </c>
      <c r="J76" s="157">
        <v>0</v>
      </c>
      <c r="K76" s="157">
        <v>0</v>
      </c>
      <c r="L76" s="157">
        <v>0</v>
      </c>
      <c r="M76" s="157">
        <v>0</v>
      </c>
      <c r="N76" s="157">
        <v>0</v>
      </c>
      <c r="O76" s="157">
        <v>0</v>
      </c>
      <c r="P76" s="157">
        <v>0</v>
      </c>
      <c r="Q76" s="157">
        <v>0</v>
      </c>
      <c r="R76" s="157">
        <v>0</v>
      </c>
      <c r="S76" s="157">
        <v>0</v>
      </c>
      <c r="T76" s="157">
        <v>0</v>
      </c>
      <c r="U76" s="157">
        <v>0</v>
      </c>
      <c r="V76" s="314"/>
      <c r="W76" s="333" t="s">
        <v>2</v>
      </c>
      <c r="X76" s="334" t="s">
        <v>387</v>
      </c>
      <c r="Y76" s="335">
        <v>2</v>
      </c>
      <c r="Z76" s="336">
        <v>0</v>
      </c>
      <c r="AA76" s="336">
        <v>0</v>
      </c>
      <c r="AB76" s="336">
        <v>0</v>
      </c>
      <c r="AC76" s="336">
        <v>0</v>
      </c>
      <c r="AD76" s="336">
        <v>0</v>
      </c>
      <c r="AE76" s="336">
        <v>0</v>
      </c>
      <c r="AF76"/>
      <c r="AG76"/>
    </row>
    <row r="77" spans="1:33" ht="12" x14ac:dyDescent="0.2">
      <c r="A77" s="156" t="s">
        <v>10</v>
      </c>
      <c r="B77" s="156" t="s">
        <v>388</v>
      </c>
      <c r="C77" s="156">
        <v>3</v>
      </c>
      <c r="D77" s="157">
        <v>16437000</v>
      </c>
      <c r="E77" s="157">
        <v>18039000</v>
      </c>
      <c r="F77" s="157">
        <v>21409645.620000001</v>
      </c>
      <c r="G77" s="157">
        <v>20141425.600000001</v>
      </c>
      <c r="H77" s="157">
        <v>30825502.34</v>
      </c>
      <c r="I77" s="157">
        <v>65387091.630000003</v>
      </c>
      <c r="J77" s="157">
        <v>97167931.060000002</v>
      </c>
      <c r="K77" s="157">
        <v>119960079.37</v>
      </c>
      <c r="L77" s="157">
        <v>171711573.38999999</v>
      </c>
      <c r="M77" s="157">
        <v>221407282.43000001</v>
      </c>
      <c r="N77" s="157">
        <v>170244807.72</v>
      </c>
      <c r="O77" s="157">
        <v>141996020.21000001</v>
      </c>
      <c r="P77" s="157">
        <v>115761743.38</v>
      </c>
      <c r="Q77" s="157">
        <v>93392467.909999996</v>
      </c>
      <c r="R77" s="157">
        <v>226229280.77000001</v>
      </c>
      <c r="S77" s="157">
        <v>203268488.72</v>
      </c>
      <c r="T77" s="157">
        <v>154079865.16</v>
      </c>
      <c r="U77" s="157">
        <v>157348876.61000001</v>
      </c>
      <c r="V77" s="314"/>
      <c r="W77" s="329" t="s">
        <v>10</v>
      </c>
      <c r="X77" s="330" t="s">
        <v>388</v>
      </c>
      <c r="Y77" s="331">
        <v>3</v>
      </c>
      <c r="Z77" s="332">
        <v>888966318.62</v>
      </c>
      <c r="AA77" s="332">
        <v>-731617442.00999999</v>
      </c>
      <c r="AB77" s="332">
        <v>157348876.61000001</v>
      </c>
      <c r="AC77" s="332">
        <v>877075385.26999998</v>
      </c>
      <c r="AD77" s="332">
        <v>-722995520.11000001</v>
      </c>
      <c r="AE77" s="332">
        <v>154079865.16</v>
      </c>
      <c r="AF77"/>
      <c r="AG77"/>
    </row>
    <row r="78" spans="1:33" ht="12" x14ac:dyDescent="0.2">
      <c r="A78" s="156" t="s">
        <v>389</v>
      </c>
      <c r="B78" s="156" t="s">
        <v>161</v>
      </c>
      <c r="C78" s="156">
        <v>4</v>
      </c>
      <c r="D78" s="157"/>
      <c r="E78" s="157"/>
      <c r="F78" s="157">
        <v>138672.62</v>
      </c>
      <c r="G78" s="157">
        <v>80635.3</v>
      </c>
      <c r="H78" s="157">
        <v>131003.9</v>
      </c>
      <c r="I78" s="157">
        <v>127445.32</v>
      </c>
      <c r="J78" s="157">
        <v>169377</v>
      </c>
      <c r="K78" s="157">
        <v>146466.70000000001</v>
      </c>
      <c r="L78" s="157">
        <v>205327</v>
      </c>
      <c r="M78" s="157">
        <v>107269.74</v>
      </c>
      <c r="N78" s="157">
        <v>56041.74</v>
      </c>
      <c r="O78" s="157">
        <v>4825.6400000000003</v>
      </c>
      <c r="P78" s="157">
        <v>0</v>
      </c>
      <c r="Q78" s="157">
        <v>0</v>
      </c>
      <c r="R78" s="157">
        <v>46808</v>
      </c>
      <c r="S78" s="157">
        <v>0</v>
      </c>
      <c r="T78" s="157">
        <v>0</v>
      </c>
      <c r="U78" s="157">
        <v>0</v>
      </c>
      <c r="V78" s="314"/>
      <c r="W78" s="333" t="s">
        <v>389</v>
      </c>
      <c r="X78" s="334" t="s">
        <v>161</v>
      </c>
      <c r="Y78" s="335">
        <v>4</v>
      </c>
      <c r="Z78" s="336">
        <v>789374.06</v>
      </c>
      <c r="AA78" s="336">
        <v>-789374.06</v>
      </c>
      <c r="AB78" s="336">
        <v>0</v>
      </c>
      <c r="AC78" s="336">
        <v>789374.06</v>
      </c>
      <c r="AD78" s="336">
        <v>-789374.06</v>
      </c>
      <c r="AE78" s="336">
        <v>0</v>
      </c>
      <c r="AF78"/>
      <c r="AG78"/>
    </row>
    <row r="79" spans="1:33" ht="12" x14ac:dyDescent="0.2">
      <c r="A79" s="156" t="s">
        <v>390</v>
      </c>
      <c r="B79" s="156" t="s">
        <v>391</v>
      </c>
      <c r="C79" s="156">
        <v>5</v>
      </c>
      <c r="D79" s="157"/>
      <c r="E79" s="157"/>
      <c r="F79" s="157">
        <v>0</v>
      </c>
      <c r="G79" s="157">
        <v>0</v>
      </c>
      <c r="H79" s="157">
        <v>0</v>
      </c>
      <c r="I79" s="157">
        <v>0</v>
      </c>
      <c r="J79" s="157">
        <v>0</v>
      </c>
      <c r="K79" s="157">
        <v>0</v>
      </c>
      <c r="L79" s="157">
        <v>0</v>
      </c>
      <c r="M79" s="157">
        <v>0</v>
      </c>
      <c r="N79" s="157">
        <v>0</v>
      </c>
      <c r="O79" s="157">
        <v>0</v>
      </c>
      <c r="P79" s="157">
        <v>0</v>
      </c>
      <c r="Q79" s="157">
        <v>0</v>
      </c>
      <c r="R79" s="157">
        <v>0</v>
      </c>
      <c r="S79" s="157">
        <v>0</v>
      </c>
      <c r="T79" s="157">
        <v>0</v>
      </c>
      <c r="U79" s="157">
        <v>0</v>
      </c>
      <c r="V79" s="314"/>
      <c r="W79" s="329" t="s">
        <v>390</v>
      </c>
      <c r="X79" s="330" t="s">
        <v>391</v>
      </c>
      <c r="Y79" s="331">
        <v>5</v>
      </c>
      <c r="Z79" s="332">
        <v>0</v>
      </c>
      <c r="AA79" s="332">
        <v>0</v>
      </c>
      <c r="AB79" s="332">
        <v>0</v>
      </c>
      <c r="AC79" s="332">
        <v>0</v>
      </c>
      <c r="AD79" s="332">
        <v>0</v>
      </c>
      <c r="AE79" s="332">
        <v>0</v>
      </c>
      <c r="AF79"/>
      <c r="AG79"/>
    </row>
    <row r="80" spans="1:33" ht="12" x14ac:dyDescent="0.2">
      <c r="A80" s="156" t="s">
        <v>51</v>
      </c>
      <c r="B80" s="156" t="s">
        <v>392</v>
      </c>
      <c r="C80" s="156">
        <v>6</v>
      </c>
      <c r="D80" s="157"/>
      <c r="E80" s="157"/>
      <c r="F80" s="157">
        <v>0</v>
      </c>
      <c r="G80" s="157">
        <v>0</v>
      </c>
      <c r="H80" s="157">
        <v>0</v>
      </c>
      <c r="I80" s="157">
        <v>0</v>
      </c>
      <c r="J80" s="157">
        <v>0</v>
      </c>
      <c r="K80" s="157">
        <v>0</v>
      </c>
      <c r="L80" s="157">
        <v>0</v>
      </c>
      <c r="M80" s="157">
        <v>0</v>
      </c>
      <c r="N80" s="157">
        <v>0</v>
      </c>
      <c r="O80" s="157">
        <v>0</v>
      </c>
      <c r="P80" s="157">
        <v>0</v>
      </c>
      <c r="Q80" s="157">
        <v>0</v>
      </c>
      <c r="R80" s="157">
        <v>0</v>
      </c>
      <c r="S80" s="157">
        <v>0</v>
      </c>
      <c r="T80" s="157">
        <v>0</v>
      </c>
      <c r="U80" s="157">
        <v>0</v>
      </c>
      <c r="V80" s="314"/>
      <c r="W80" s="333">
        <v>2</v>
      </c>
      <c r="X80" s="334" t="s">
        <v>392</v>
      </c>
      <c r="Y80" s="335">
        <v>6</v>
      </c>
      <c r="Z80" s="336">
        <v>0</v>
      </c>
      <c r="AA80" s="336">
        <v>0</v>
      </c>
      <c r="AB80" s="336">
        <v>0</v>
      </c>
      <c r="AC80" s="336">
        <v>0</v>
      </c>
      <c r="AD80" s="336">
        <v>0</v>
      </c>
      <c r="AE80" s="336">
        <v>0</v>
      </c>
      <c r="AF80"/>
      <c r="AG80"/>
    </row>
    <row r="81" spans="1:33" ht="12" x14ac:dyDescent="0.2">
      <c r="A81" s="156" t="s">
        <v>52</v>
      </c>
      <c r="B81" s="156" t="s">
        <v>393</v>
      </c>
      <c r="C81" s="156">
        <v>7</v>
      </c>
      <c r="D81" s="157"/>
      <c r="E81" s="157"/>
      <c r="F81" s="157">
        <v>138672.62</v>
      </c>
      <c r="G81" s="157">
        <v>80635.3</v>
      </c>
      <c r="H81" s="157">
        <v>131003.9</v>
      </c>
      <c r="I81" s="157">
        <v>56957.32</v>
      </c>
      <c r="J81" s="157">
        <v>169377</v>
      </c>
      <c r="K81" s="157">
        <v>87933</v>
      </c>
      <c r="L81" s="157">
        <v>111550.25</v>
      </c>
      <c r="M81" s="157">
        <v>107269.74</v>
      </c>
      <c r="N81" s="157">
        <v>56041.74</v>
      </c>
      <c r="O81" s="157">
        <v>4825.6400000000003</v>
      </c>
      <c r="P81" s="157">
        <v>0</v>
      </c>
      <c r="Q81" s="157">
        <v>0</v>
      </c>
      <c r="R81" s="157">
        <v>46808</v>
      </c>
      <c r="S81" s="157">
        <v>0</v>
      </c>
      <c r="T81" s="157">
        <v>0</v>
      </c>
      <c r="U81" s="157">
        <v>0</v>
      </c>
      <c r="V81" s="314"/>
      <c r="W81" s="329">
        <v>3</v>
      </c>
      <c r="X81" s="330" t="s">
        <v>393</v>
      </c>
      <c r="Y81" s="331">
        <v>7</v>
      </c>
      <c r="Z81" s="332">
        <v>789374.06</v>
      </c>
      <c r="AA81" s="332">
        <v>-789374.06</v>
      </c>
      <c r="AB81" s="332">
        <v>0</v>
      </c>
      <c r="AC81" s="332">
        <v>789374.06</v>
      </c>
      <c r="AD81" s="332">
        <v>-789374.06</v>
      </c>
      <c r="AE81" s="332">
        <v>0</v>
      </c>
      <c r="AF81"/>
      <c r="AG81"/>
    </row>
    <row r="82" spans="1:33" ht="12" x14ac:dyDescent="0.2">
      <c r="A82" s="156" t="s">
        <v>54</v>
      </c>
      <c r="B82" s="156" t="s">
        <v>394</v>
      </c>
      <c r="C82" s="156">
        <v>8</v>
      </c>
      <c r="D82" s="157"/>
      <c r="E82" s="157"/>
      <c r="F82" s="157">
        <v>0</v>
      </c>
      <c r="G82" s="157">
        <v>0</v>
      </c>
      <c r="H82" s="157">
        <v>0</v>
      </c>
      <c r="I82" s="157">
        <v>0</v>
      </c>
      <c r="J82" s="157">
        <v>0</v>
      </c>
      <c r="K82" s="157">
        <v>0</v>
      </c>
      <c r="L82" s="157">
        <v>0</v>
      </c>
      <c r="M82" s="157">
        <v>0</v>
      </c>
      <c r="N82" s="157">
        <v>0</v>
      </c>
      <c r="O82" s="157">
        <v>0</v>
      </c>
      <c r="P82" s="157">
        <v>0</v>
      </c>
      <c r="Q82" s="157">
        <v>0</v>
      </c>
      <c r="R82" s="157">
        <v>0</v>
      </c>
      <c r="S82" s="157">
        <v>0</v>
      </c>
      <c r="T82" s="157">
        <v>0</v>
      </c>
      <c r="U82" s="157">
        <v>0</v>
      </c>
      <c r="V82" s="314"/>
      <c r="W82" s="333">
        <v>4</v>
      </c>
      <c r="X82" s="334" t="s">
        <v>394</v>
      </c>
      <c r="Y82" s="335">
        <v>8</v>
      </c>
      <c r="Z82" s="336">
        <v>0</v>
      </c>
      <c r="AA82" s="336">
        <v>0</v>
      </c>
      <c r="AB82" s="336">
        <v>0</v>
      </c>
      <c r="AC82" s="336">
        <v>0</v>
      </c>
      <c r="AD82" s="336">
        <v>0</v>
      </c>
      <c r="AE82" s="336">
        <v>0</v>
      </c>
      <c r="AF82"/>
      <c r="AG82"/>
    </row>
    <row r="83" spans="1:33" ht="12" x14ac:dyDescent="0.2">
      <c r="A83" s="156" t="s">
        <v>56</v>
      </c>
      <c r="B83" s="156" t="s">
        <v>395</v>
      </c>
      <c r="C83" s="156">
        <v>9</v>
      </c>
      <c r="D83" s="157"/>
      <c r="E83" s="157"/>
      <c r="F83" s="157">
        <v>0</v>
      </c>
      <c r="G83" s="157">
        <v>0</v>
      </c>
      <c r="H83" s="157">
        <v>0</v>
      </c>
      <c r="I83" s="157">
        <v>0</v>
      </c>
      <c r="J83" s="157">
        <v>0</v>
      </c>
      <c r="K83" s="157">
        <v>0</v>
      </c>
      <c r="L83" s="157">
        <v>0</v>
      </c>
      <c r="M83" s="157">
        <v>0</v>
      </c>
      <c r="N83" s="157">
        <v>0</v>
      </c>
      <c r="O83" s="157">
        <v>0</v>
      </c>
      <c r="P83" s="157">
        <v>0</v>
      </c>
      <c r="Q83" s="157">
        <v>0</v>
      </c>
      <c r="R83" s="157">
        <v>0</v>
      </c>
      <c r="S83" s="157">
        <v>0</v>
      </c>
      <c r="T83" s="157">
        <v>0</v>
      </c>
      <c r="U83" s="157">
        <v>0</v>
      </c>
      <c r="V83" s="314"/>
      <c r="W83" s="329">
        <v>5</v>
      </c>
      <c r="X83" s="330" t="s">
        <v>395</v>
      </c>
      <c r="Y83" s="331">
        <v>9</v>
      </c>
      <c r="Z83" s="332">
        <v>0</v>
      </c>
      <c r="AA83" s="332">
        <v>0</v>
      </c>
      <c r="AB83" s="332">
        <v>0</v>
      </c>
      <c r="AC83" s="332">
        <v>0</v>
      </c>
      <c r="AD83" s="332">
        <v>0</v>
      </c>
      <c r="AE83" s="332">
        <v>0</v>
      </c>
      <c r="AF83"/>
      <c r="AG83"/>
    </row>
    <row r="84" spans="1:33" ht="12" x14ac:dyDescent="0.2">
      <c r="A84" s="156" t="s">
        <v>279</v>
      </c>
      <c r="B84" s="156" t="s">
        <v>396</v>
      </c>
      <c r="C84" s="156">
        <v>10</v>
      </c>
      <c r="D84" s="157"/>
      <c r="E84" s="157"/>
      <c r="F84" s="157">
        <v>0</v>
      </c>
      <c r="G84" s="157">
        <v>0</v>
      </c>
      <c r="H84" s="157">
        <v>0</v>
      </c>
      <c r="I84" s="157">
        <v>0</v>
      </c>
      <c r="J84" s="157">
        <v>0</v>
      </c>
      <c r="K84" s="157">
        <v>0</v>
      </c>
      <c r="L84" s="157">
        <v>0</v>
      </c>
      <c r="M84" s="157">
        <v>0</v>
      </c>
      <c r="N84" s="157">
        <v>0</v>
      </c>
      <c r="O84" s="157">
        <v>0</v>
      </c>
      <c r="P84" s="157">
        <v>0</v>
      </c>
      <c r="Q84" s="157">
        <v>0</v>
      </c>
      <c r="R84" s="157">
        <v>0</v>
      </c>
      <c r="S84" s="157">
        <v>0</v>
      </c>
      <c r="T84" s="157">
        <v>0</v>
      </c>
      <c r="U84" s="157">
        <v>0</v>
      </c>
      <c r="V84" s="314"/>
      <c r="W84" s="333">
        <v>6</v>
      </c>
      <c r="X84" s="334" t="s">
        <v>396</v>
      </c>
      <c r="Y84" s="335">
        <v>10</v>
      </c>
      <c r="Z84" s="336">
        <v>0</v>
      </c>
      <c r="AA84" s="336">
        <v>0</v>
      </c>
      <c r="AB84" s="336">
        <v>0</v>
      </c>
      <c r="AC84" s="336">
        <v>0</v>
      </c>
      <c r="AD84" s="336">
        <v>0</v>
      </c>
      <c r="AE84" s="336">
        <v>0</v>
      </c>
      <c r="AF84"/>
      <c r="AG84"/>
    </row>
    <row r="85" spans="1:33" ht="12" x14ac:dyDescent="0.2">
      <c r="A85" s="156" t="s">
        <v>58</v>
      </c>
      <c r="B85" s="156" t="s">
        <v>397</v>
      </c>
      <c r="C85" s="156">
        <v>11</v>
      </c>
      <c r="D85" s="157"/>
      <c r="E85" s="157"/>
      <c r="F85" s="157">
        <v>0</v>
      </c>
      <c r="G85" s="157">
        <v>0</v>
      </c>
      <c r="H85" s="157">
        <v>0</v>
      </c>
      <c r="I85" s="157">
        <v>70488</v>
      </c>
      <c r="J85" s="157">
        <v>0</v>
      </c>
      <c r="K85" s="157">
        <v>58533.7</v>
      </c>
      <c r="L85" s="157">
        <v>93776.75</v>
      </c>
      <c r="M85" s="157">
        <v>0</v>
      </c>
      <c r="N85" s="157">
        <v>0</v>
      </c>
      <c r="O85" s="157">
        <v>0</v>
      </c>
      <c r="P85" s="157">
        <v>0</v>
      </c>
      <c r="Q85" s="157">
        <v>0</v>
      </c>
      <c r="R85" s="157">
        <v>0</v>
      </c>
      <c r="S85" s="157">
        <v>0</v>
      </c>
      <c r="T85" s="157">
        <v>0</v>
      </c>
      <c r="U85" s="157">
        <v>0</v>
      </c>
      <c r="V85" s="314"/>
      <c r="W85" s="329">
        <v>7</v>
      </c>
      <c r="X85" s="330" t="s">
        <v>397</v>
      </c>
      <c r="Y85" s="331">
        <v>11</v>
      </c>
      <c r="Z85" s="332">
        <v>0</v>
      </c>
      <c r="AA85" s="332">
        <v>0</v>
      </c>
      <c r="AB85" s="332">
        <v>0</v>
      </c>
      <c r="AC85" s="332">
        <v>0</v>
      </c>
      <c r="AD85" s="332">
        <v>0</v>
      </c>
      <c r="AE85" s="332">
        <v>0</v>
      </c>
      <c r="AF85"/>
      <c r="AG85"/>
    </row>
    <row r="86" spans="1:33" ht="12" x14ac:dyDescent="0.2">
      <c r="A86" s="156" t="s">
        <v>398</v>
      </c>
      <c r="B86" s="156" t="s">
        <v>399</v>
      </c>
      <c r="C86" s="156">
        <v>12</v>
      </c>
      <c r="D86" s="157"/>
      <c r="E86" s="157"/>
      <c r="F86" s="157">
        <v>0</v>
      </c>
      <c r="G86" s="157">
        <v>0</v>
      </c>
      <c r="H86" s="157">
        <v>0</v>
      </c>
      <c r="I86" s="157">
        <v>0</v>
      </c>
      <c r="J86" s="157">
        <v>0</v>
      </c>
      <c r="K86" s="157">
        <v>0</v>
      </c>
      <c r="L86" s="157">
        <v>0</v>
      </c>
      <c r="M86" s="157">
        <v>0</v>
      </c>
      <c r="N86" s="157">
        <v>0</v>
      </c>
      <c r="O86" s="157">
        <v>0</v>
      </c>
      <c r="P86" s="157">
        <v>0</v>
      </c>
      <c r="Q86" s="157">
        <v>0</v>
      </c>
      <c r="R86" s="157">
        <v>0</v>
      </c>
      <c r="S86" s="157">
        <v>0</v>
      </c>
      <c r="T86" s="157">
        <v>0</v>
      </c>
      <c r="U86" s="157">
        <v>0</v>
      </c>
      <c r="V86" s="314"/>
      <c r="W86" s="333">
        <v>8</v>
      </c>
      <c r="X86" s="334" t="s">
        <v>399</v>
      </c>
      <c r="Y86" s="335">
        <v>12</v>
      </c>
      <c r="Z86" s="336">
        <v>0</v>
      </c>
      <c r="AA86" s="336">
        <v>0</v>
      </c>
      <c r="AB86" s="336">
        <v>0</v>
      </c>
      <c r="AC86" s="336">
        <v>0</v>
      </c>
      <c r="AD86" s="336">
        <v>0</v>
      </c>
      <c r="AE86" s="336">
        <v>0</v>
      </c>
      <c r="AF86"/>
      <c r="AG86"/>
    </row>
    <row r="87" spans="1:33" ht="12" x14ac:dyDescent="0.2">
      <c r="A87" s="156" t="s">
        <v>400</v>
      </c>
      <c r="B87" s="156" t="s">
        <v>198</v>
      </c>
      <c r="C87" s="156">
        <v>13</v>
      </c>
      <c r="D87" s="157">
        <v>16437000</v>
      </c>
      <c r="E87" s="157">
        <v>18039000</v>
      </c>
      <c r="F87" s="157">
        <v>21270973</v>
      </c>
      <c r="G87" s="157">
        <v>20060790.300000001</v>
      </c>
      <c r="H87" s="157">
        <v>30694498.440000001</v>
      </c>
      <c r="I87" s="157">
        <v>65259646.310000002</v>
      </c>
      <c r="J87" s="157">
        <v>96998554.060000002</v>
      </c>
      <c r="K87" s="157">
        <v>119813612.67</v>
      </c>
      <c r="L87" s="157">
        <v>171506246.38999999</v>
      </c>
      <c r="M87" s="157">
        <v>221300012.69</v>
      </c>
      <c r="N87" s="157">
        <v>170188765.97999999</v>
      </c>
      <c r="O87" s="157">
        <v>141991194.56999999</v>
      </c>
      <c r="P87" s="157">
        <v>115761743.38</v>
      </c>
      <c r="Q87" s="157">
        <v>93392467.909999996</v>
      </c>
      <c r="R87" s="157">
        <v>226182472.77000001</v>
      </c>
      <c r="S87" s="157">
        <v>203268488.72</v>
      </c>
      <c r="T87" s="157">
        <v>154079865.16</v>
      </c>
      <c r="U87" s="157">
        <v>157348876.61000001</v>
      </c>
      <c r="V87" s="314"/>
      <c r="W87" s="329" t="s">
        <v>400</v>
      </c>
      <c r="X87" s="330" t="s">
        <v>198</v>
      </c>
      <c r="Y87" s="331">
        <v>13</v>
      </c>
      <c r="Z87" s="332">
        <v>888176944.55999994</v>
      </c>
      <c r="AA87" s="332">
        <v>-730828067.95000005</v>
      </c>
      <c r="AB87" s="332">
        <v>157348876.61000001</v>
      </c>
      <c r="AC87" s="332">
        <v>876286011.21000004</v>
      </c>
      <c r="AD87" s="332">
        <v>-722206146.04999995</v>
      </c>
      <c r="AE87" s="332">
        <v>154079865.16</v>
      </c>
      <c r="AF87"/>
      <c r="AG87"/>
    </row>
    <row r="88" spans="1:33" ht="12" x14ac:dyDescent="0.2">
      <c r="A88" s="156" t="s">
        <v>401</v>
      </c>
      <c r="B88" s="156" t="s">
        <v>50</v>
      </c>
      <c r="C88" s="156">
        <v>14</v>
      </c>
      <c r="D88" s="157">
        <v>2805000</v>
      </c>
      <c r="E88" s="157">
        <v>2805000</v>
      </c>
      <c r="F88" s="157">
        <v>2805265</v>
      </c>
      <c r="G88" s="157">
        <v>2805265</v>
      </c>
      <c r="H88" s="157">
        <v>2805265</v>
      </c>
      <c r="I88" s="157">
        <v>2805265</v>
      </c>
      <c r="J88" s="157">
        <v>2805265</v>
      </c>
      <c r="K88" s="157">
        <v>2805265</v>
      </c>
      <c r="L88" s="157">
        <v>2805265</v>
      </c>
      <c r="M88" s="157">
        <v>10321148.199999999</v>
      </c>
      <c r="N88" s="157">
        <v>20145872.949999999</v>
      </c>
      <c r="O88" s="157">
        <v>20145872.949999999</v>
      </c>
      <c r="P88" s="157">
        <v>20145872.949999999</v>
      </c>
      <c r="Q88" s="157">
        <v>20145872.949999999</v>
      </c>
      <c r="R88" s="157">
        <v>20145872.949999999</v>
      </c>
      <c r="S88" s="157">
        <v>20145872.949999999</v>
      </c>
      <c r="T88" s="157">
        <v>20145872.949999999</v>
      </c>
      <c r="U88" s="157">
        <v>20145872.949999999</v>
      </c>
      <c r="V88" s="314"/>
      <c r="W88" s="333" t="s">
        <v>401</v>
      </c>
      <c r="X88" s="334" t="s">
        <v>50</v>
      </c>
      <c r="Y88" s="335">
        <v>14</v>
      </c>
      <c r="Z88" s="336">
        <v>20145872.949999999</v>
      </c>
      <c r="AA88" s="336">
        <v>0</v>
      </c>
      <c r="AB88" s="336">
        <v>20145872.949999999</v>
      </c>
      <c r="AC88" s="336">
        <v>20145872.949999999</v>
      </c>
      <c r="AD88" s="336">
        <v>0</v>
      </c>
      <c r="AE88" s="336">
        <v>20145872.949999999</v>
      </c>
      <c r="AF88"/>
      <c r="AG88"/>
    </row>
    <row r="89" spans="1:33" ht="12" x14ac:dyDescent="0.2">
      <c r="A89" s="156" t="s">
        <v>51</v>
      </c>
      <c r="B89" s="156" t="s">
        <v>199</v>
      </c>
      <c r="C89" s="156">
        <v>15</v>
      </c>
      <c r="D89" s="157">
        <v>9750000</v>
      </c>
      <c r="E89" s="157">
        <v>8822000</v>
      </c>
      <c r="F89" s="157">
        <v>8275952</v>
      </c>
      <c r="G89" s="157">
        <v>7855932</v>
      </c>
      <c r="H89" s="157">
        <v>7341266</v>
      </c>
      <c r="I89" s="157">
        <v>6845549</v>
      </c>
      <c r="J89" s="157">
        <v>6641257.4199999999</v>
      </c>
      <c r="K89" s="157">
        <v>6358320.4199999999</v>
      </c>
      <c r="L89" s="157">
        <v>5992303.4199999999</v>
      </c>
      <c r="M89" s="157">
        <v>8167836.9199999999</v>
      </c>
      <c r="N89" s="157">
        <v>9030789.9199999999</v>
      </c>
      <c r="O89" s="157">
        <v>8318353.2199999997</v>
      </c>
      <c r="P89" s="157">
        <v>7688456.2199999997</v>
      </c>
      <c r="Q89" s="157">
        <v>7086710.2199999997</v>
      </c>
      <c r="R89" s="157">
        <v>6513109.2199999997</v>
      </c>
      <c r="S89" s="157">
        <v>5967658.2199999997</v>
      </c>
      <c r="T89" s="157">
        <v>5450360.2199999997</v>
      </c>
      <c r="U89" s="157">
        <v>5085207.22</v>
      </c>
      <c r="V89" s="314"/>
      <c r="W89" s="329">
        <v>2</v>
      </c>
      <c r="X89" s="330" t="s">
        <v>199</v>
      </c>
      <c r="Y89" s="331">
        <v>15</v>
      </c>
      <c r="Z89" s="332">
        <v>16292379.220000001</v>
      </c>
      <c r="AA89" s="332">
        <v>-11207172</v>
      </c>
      <c r="AB89" s="332">
        <v>5085207.22</v>
      </c>
      <c r="AC89" s="332">
        <v>16168379.220000001</v>
      </c>
      <c r="AD89" s="332">
        <v>-10718019</v>
      </c>
      <c r="AE89" s="332">
        <v>5450360.2199999997</v>
      </c>
      <c r="AF89"/>
      <c r="AG89"/>
    </row>
    <row r="90" spans="1:33" ht="12" x14ac:dyDescent="0.2">
      <c r="A90" s="156" t="s">
        <v>52</v>
      </c>
      <c r="B90" s="156" t="s">
        <v>402</v>
      </c>
      <c r="C90" s="156">
        <v>16</v>
      </c>
      <c r="D90" s="157">
        <v>3882000</v>
      </c>
      <c r="E90" s="157">
        <v>6258000</v>
      </c>
      <c r="F90" s="157">
        <v>10185756</v>
      </c>
      <c r="G90" s="157">
        <v>9395593.3000000007</v>
      </c>
      <c r="H90" s="157">
        <v>20543967.440000001</v>
      </c>
      <c r="I90" s="157">
        <v>55608832.310000002</v>
      </c>
      <c r="J90" s="157">
        <v>87552031.640000001</v>
      </c>
      <c r="K90" s="157">
        <v>87499652.25</v>
      </c>
      <c r="L90" s="157">
        <v>145358151.27000001</v>
      </c>
      <c r="M90" s="157">
        <v>179028627.56999999</v>
      </c>
      <c r="N90" s="157">
        <v>139533738.09</v>
      </c>
      <c r="O90" s="157">
        <v>108167421.90000001</v>
      </c>
      <c r="P90" s="157">
        <v>87927414.209999993</v>
      </c>
      <c r="Q90" s="157">
        <v>66159884.740000002</v>
      </c>
      <c r="R90" s="157">
        <v>182523912.59999999</v>
      </c>
      <c r="S90" s="157">
        <v>177154957.55000001</v>
      </c>
      <c r="T90" s="157">
        <v>127210294.48999999</v>
      </c>
      <c r="U90" s="157">
        <v>128481072.44</v>
      </c>
      <c r="V90" s="314"/>
      <c r="W90" s="333">
        <v>3</v>
      </c>
      <c r="X90" s="334" t="s">
        <v>402</v>
      </c>
      <c r="Y90" s="335">
        <v>16</v>
      </c>
      <c r="Z90" s="336">
        <v>848101968.38999999</v>
      </c>
      <c r="AA90" s="336">
        <v>-719620895.95000005</v>
      </c>
      <c r="AB90" s="336">
        <v>128481072.44</v>
      </c>
      <c r="AC90" s="336">
        <v>838698421.53999996</v>
      </c>
      <c r="AD90" s="336">
        <v>-711488127.04999995</v>
      </c>
      <c r="AE90" s="336">
        <v>127210294.48999999</v>
      </c>
      <c r="AF90"/>
      <c r="AG90"/>
    </row>
    <row r="91" spans="1:33" ht="12" x14ac:dyDescent="0.2">
      <c r="A91" s="156" t="s">
        <v>54</v>
      </c>
      <c r="B91" s="156" t="s">
        <v>55</v>
      </c>
      <c r="C91" s="156">
        <v>17</v>
      </c>
      <c r="D91" s="157"/>
      <c r="E91" s="157"/>
      <c r="F91" s="157">
        <v>0</v>
      </c>
      <c r="G91" s="157">
        <v>0</v>
      </c>
      <c r="H91" s="157">
        <v>0</v>
      </c>
      <c r="I91" s="157">
        <v>0</v>
      </c>
      <c r="J91" s="157">
        <v>0</v>
      </c>
      <c r="K91" s="157">
        <v>0</v>
      </c>
      <c r="L91" s="157">
        <v>0</v>
      </c>
      <c r="M91" s="157">
        <v>0</v>
      </c>
      <c r="N91" s="157">
        <v>0</v>
      </c>
      <c r="O91" s="157">
        <v>0</v>
      </c>
      <c r="P91" s="157">
        <v>0</v>
      </c>
      <c r="Q91" s="157">
        <v>0</v>
      </c>
      <c r="R91" s="157">
        <v>0</v>
      </c>
      <c r="S91" s="157">
        <v>0</v>
      </c>
      <c r="T91" s="157">
        <v>0</v>
      </c>
      <c r="U91" s="157">
        <v>0</v>
      </c>
      <c r="V91" s="314"/>
      <c r="W91" s="329">
        <v>4</v>
      </c>
      <c r="X91" s="330" t="s">
        <v>55</v>
      </c>
      <c r="Y91" s="331">
        <v>17</v>
      </c>
      <c r="Z91" s="332">
        <v>0</v>
      </c>
      <c r="AA91" s="332">
        <v>0</v>
      </c>
      <c r="AB91" s="332">
        <v>0</v>
      </c>
      <c r="AC91" s="332">
        <v>0</v>
      </c>
      <c r="AD91" s="332">
        <v>0</v>
      </c>
      <c r="AE91" s="332">
        <v>0</v>
      </c>
      <c r="AF91"/>
      <c r="AG91"/>
    </row>
    <row r="92" spans="1:33" ht="12" x14ac:dyDescent="0.2">
      <c r="A92" s="156" t="s">
        <v>56</v>
      </c>
      <c r="B92" s="156" t="s">
        <v>403</v>
      </c>
      <c r="C92" s="156">
        <v>18</v>
      </c>
      <c r="D92" s="157"/>
      <c r="E92" s="157"/>
      <c r="F92" s="157">
        <v>0</v>
      </c>
      <c r="G92" s="157">
        <v>0</v>
      </c>
      <c r="H92" s="157">
        <v>0</v>
      </c>
      <c r="I92" s="157">
        <v>0</v>
      </c>
      <c r="J92" s="157">
        <v>0</v>
      </c>
      <c r="K92" s="157">
        <v>0</v>
      </c>
      <c r="L92" s="157">
        <v>0</v>
      </c>
      <c r="M92" s="157">
        <v>0</v>
      </c>
      <c r="N92" s="157">
        <v>0</v>
      </c>
      <c r="O92" s="157">
        <v>0</v>
      </c>
      <c r="P92" s="157">
        <v>0</v>
      </c>
      <c r="Q92" s="157">
        <v>0</v>
      </c>
      <c r="R92" s="157">
        <v>0</v>
      </c>
      <c r="S92" s="157">
        <v>0</v>
      </c>
      <c r="T92" s="157">
        <v>0</v>
      </c>
      <c r="U92" s="157">
        <v>0</v>
      </c>
      <c r="V92" s="314"/>
      <c r="W92" s="333">
        <v>5</v>
      </c>
      <c r="X92" s="334" t="s">
        <v>403</v>
      </c>
      <c r="Y92" s="335">
        <v>18</v>
      </c>
      <c r="Z92" s="336">
        <v>0</v>
      </c>
      <c r="AA92" s="336">
        <v>0</v>
      </c>
      <c r="AB92" s="336">
        <v>0</v>
      </c>
      <c r="AC92" s="336">
        <v>0</v>
      </c>
      <c r="AD92" s="336">
        <v>0</v>
      </c>
      <c r="AE92" s="336">
        <v>0</v>
      </c>
      <c r="AF92"/>
      <c r="AG92"/>
    </row>
    <row r="93" spans="1:33" ht="12" x14ac:dyDescent="0.2">
      <c r="A93" s="156" t="s">
        <v>279</v>
      </c>
      <c r="B93" s="156" t="s">
        <v>200</v>
      </c>
      <c r="C93" s="156">
        <v>19</v>
      </c>
      <c r="D93" s="157"/>
      <c r="E93" s="157"/>
      <c r="F93" s="157">
        <v>0</v>
      </c>
      <c r="G93" s="157">
        <v>0</v>
      </c>
      <c r="H93" s="157">
        <v>0</v>
      </c>
      <c r="I93" s="157">
        <v>0</v>
      </c>
      <c r="J93" s="157">
        <v>0</v>
      </c>
      <c r="K93" s="157">
        <v>0</v>
      </c>
      <c r="L93" s="157">
        <v>0</v>
      </c>
      <c r="M93" s="157">
        <v>0</v>
      </c>
      <c r="N93" s="157">
        <v>0</v>
      </c>
      <c r="O93" s="157">
        <v>0</v>
      </c>
      <c r="P93" s="157">
        <v>0</v>
      </c>
      <c r="Q93" s="157">
        <v>0</v>
      </c>
      <c r="R93" s="157">
        <v>0</v>
      </c>
      <c r="S93" s="157">
        <v>0</v>
      </c>
      <c r="T93" s="157">
        <v>0</v>
      </c>
      <c r="U93" s="157">
        <v>0</v>
      </c>
      <c r="V93" s="314"/>
      <c r="W93" s="329">
        <v>6</v>
      </c>
      <c r="X93" s="330" t="s">
        <v>200</v>
      </c>
      <c r="Y93" s="331">
        <v>19</v>
      </c>
      <c r="Z93" s="332">
        <v>0</v>
      </c>
      <c r="AA93" s="332">
        <v>0</v>
      </c>
      <c r="AB93" s="332">
        <v>0</v>
      </c>
      <c r="AC93" s="332">
        <v>0</v>
      </c>
      <c r="AD93" s="332">
        <v>0</v>
      </c>
      <c r="AE93" s="332">
        <v>0</v>
      </c>
      <c r="AF93"/>
      <c r="AG93"/>
    </row>
    <row r="94" spans="1:33" ht="12" x14ac:dyDescent="0.2">
      <c r="A94" s="156" t="s">
        <v>58</v>
      </c>
      <c r="B94" s="156" t="s">
        <v>201</v>
      </c>
      <c r="C94" s="156">
        <v>20</v>
      </c>
      <c r="D94" s="157"/>
      <c r="E94" s="157">
        <v>4000</v>
      </c>
      <c r="F94" s="157">
        <v>4000</v>
      </c>
      <c r="G94" s="157">
        <v>4000</v>
      </c>
      <c r="H94" s="157">
        <v>4000</v>
      </c>
      <c r="I94" s="157">
        <v>0</v>
      </c>
      <c r="J94" s="157">
        <v>0</v>
      </c>
      <c r="K94" s="157">
        <v>0</v>
      </c>
      <c r="L94" s="157">
        <v>3179.2</v>
      </c>
      <c r="M94" s="157">
        <v>10808000</v>
      </c>
      <c r="N94" s="157">
        <v>0</v>
      </c>
      <c r="O94" s="157">
        <v>0</v>
      </c>
      <c r="P94" s="157">
        <v>0</v>
      </c>
      <c r="Q94" s="157">
        <v>0</v>
      </c>
      <c r="R94" s="157">
        <v>16097160</v>
      </c>
      <c r="S94" s="157">
        <v>0</v>
      </c>
      <c r="T94" s="157">
        <v>0</v>
      </c>
      <c r="U94" s="157">
        <v>0</v>
      </c>
      <c r="V94" s="314"/>
      <c r="W94" s="333">
        <v>7</v>
      </c>
      <c r="X94" s="334" t="s">
        <v>201</v>
      </c>
      <c r="Y94" s="335">
        <v>20</v>
      </c>
      <c r="Z94" s="336">
        <v>0</v>
      </c>
      <c r="AA94" s="336">
        <v>0</v>
      </c>
      <c r="AB94" s="336">
        <v>0</v>
      </c>
      <c r="AC94" s="336">
        <v>0</v>
      </c>
      <c r="AD94" s="336">
        <v>0</v>
      </c>
      <c r="AE94" s="336">
        <v>0</v>
      </c>
      <c r="AF94"/>
      <c r="AG94"/>
    </row>
    <row r="95" spans="1:33" ht="12" x14ac:dyDescent="0.2">
      <c r="A95" s="156" t="s">
        <v>398</v>
      </c>
      <c r="B95" s="156" t="s">
        <v>202</v>
      </c>
      <c r="C95" s="156">
        <v>21</v>
      </c>
      <c r="D95" s="157"/>
      <c r="E95" s="157">
        <v>150000</v>
      </c>
      <c r="F95" s="157">
        <v>0</v>
      </c>
      <c r="G95" s="157">
        <v>0</v>
      </c>
      <c r="H95" s="157">
        <v>0</v>
      </c>
      <c r="I95" s="157">
        <v>0</v>
      </c>
      <c r="J95" s="157">
        <v>0</v>
      </c>
      <c r="K95" s="157">
        <v>23150375</v>
      </c>
      <c r="L95" s="157">
        <v>17347347.5</v>
      </c>
      <c r="M95" s="157">
        <v>12974400</v>
      </c>
      <c r="N95" s="157">
        <v>1478365.02</v>
      </c>
      <c r="O95" s="157">
        <v>5359546.5</v>
      </c>
      <c r="P95" s="157">
        <v>0</v>
      </c>
      <c r="Q95" s="157">
        <v>0</v>
      </c>
      <c r="R95" s="157">
        <v>902418</v>
      </c>
      <c r="S95" s="157">
        <v>0</v>
      </c>
      <c r="T95" s="157">
        <v>1273337.5</v>
      </c>
      <c r="U95" s="157">
        <v>3636724</v>
      </c>
      <c r="V95" s="314"/>
      <c r="W95" s="329">
        <v>8</v>
      </c>
      <c r="X95" s="330" t="s">
        <v>202</v>
      </c>
      <c r="Y95" s="331">
        <v>21</v>
      </c>
      <c r="Z95" s="332">
        <v>3636724</v>
      </c>
      <c r="AA95" s="332">
        <v>0</v>
      </c>
      <c r="AB95" s="332">
        <v>3636724</v>
      </c>
      <c r="AC95" s="332">
        <v>1273337.5</v>
      </c>
      <c r="AD95" s="332">
        <v>0</v>
      </c>
      <c r="AE95" s="332">
        <v>1273337.5</v>
      </c>
      <c r="AF95"/>
      <c r="AG95"/>
    </row>
    <row r="96" spans="1:33" ht="12" x14ac:dyDescent="0.2">
      <c r="A96" s="156" t="s">
        <v>404</v>
      </c>
      <c r="B96" s="156" t="s">
        <v>405</v>
      </c>
      <c r="C96" s="156">
        <v>22</v>
      </c>
      <c r="D96" s="157"/>
      <c r="E96" s="157"/>
      <c r="F96" s="157">
        <v>0</v>
      </c>
      <c r="G96" s="157">
        <v>0</v>
      </c>
      <c r="H96" s="157">
        <v>0</v>
      </c>
      <c r="I96" s="157">
        <v>0</v>
      </c>
      <c r="J96" s="157">
        <v>0</v>
      </c>
      <c r="K96" s="157">
        <v>0</v>
      </c>
      <c r="L96" s="157">
        <v>0</v>
      </c>
      <c r="M96" s="157">
        <v>0</v>
      </c>
      <c r="N96" s="157">
        <v>0</v>
      </c>
      <c r="O96" s="157">
        <v>0</v>
      </c>
      <c r="P96" s="157">
        <v>0</v>
      </c>
      <c r="Q96" s="157">
        <v>0</v>
      </c>
      <c r="R96" s="157">
        <v>0</v>
      </c>
      <c r="S96" s="157">
        <v>0</v>
      </c>
      <c r="T96" s="157">
        <v>0</v>
      </c>
      <c r="U96" s="157">
        <v>0</v>
      </c>
      <c r="V96" s="314"/>
      <c r="W96" s="333">
        <v>9</v>
      </c>
      <c r="X96" s="334" t="s">
        <v>405</v>
      </c>
      <c r="Y96" s="335">
        <v>22</v>
      </c>
      <c r="Z96" s="336">
        <v>0</v>
      </c>
      <c r="AA96" s="336">
        <v>0</v>
      </c>
      <c r="AB96" s="336">
        <v>0</v>
      </c>
      <c r="AC96" s="336">
        <v>0</v>
      </c>
      <c r="AD96" s="336">
        <v>0</v>
      </c>
      <c r="AE96" s="336">
        <v>0</v>
      </c>
      <c r="AF96"/>
      <c r="AG96"/>
    </row>
    <row r="97" spans="1:33" ht="12" x14ac:dyDescent="0.2">
      <c r="A97" s="156" t="s">
        <v>406</v>
      </c>
      <c r="B97" s="156" t="s">
        <v>407</v>
      </c>
      <c r="C97" s="156">
        <v>23</v>
      </c>
      <c r="D97" s="157"/>
      <c r="E97" s="157"/>
      <c r="F97" s="157">
        <v>0</v>
      </c>
      <c r="G97" s="157">
        <v>0</v>
      </c>
      <c r="H97" s="157">
        <v>0</v>
      </c>
      <c r="I97" s="157">
        <v>0</v>
      </c>
      <c r="J97" s="157">
        <v>0</v>
      </c>
      <c r="K97" s="157">
        <v>0</v>
      </c>
      <c r="L97" s="157">
        <v>0</v>
      </c>
      <c r="M97" s="157">
        <v>0</v>
      </c>
      <c r="N97" s="157">
        <v>0</v>
      </c>
      <c r="O97" s="157">
        <v>0</v>
      </c>
      <c r="P97" s="157">
        <v>0</v>
      </c>
      <c r="Q97" s="157">
        <v>0</v>
      </c>
      <c r="R97" s="157">
        <v>0</v>
      </c>
      <c r="S97" s="157">
        <v>0</v>
      </c>
      <c r="T97" s="157">
        <v>0</v>
      </c>
      <c r="U97" s="157">
        <v>0</v>
      </c>
      <c r="V97" s="314"/>
      <c r="W97" s="329" t="s">
        <v>406</v>
      </c>
      <c r="X97" s="330" t="s">
        <v>407</v>
      </c>
      <c r="Y97" s="331">
        <v>23</v>
      </c>
      <c r="Z97" s="332">
        <v>0</v>
      </c>
      <c r="AA97" s="332">
        <v>0</v>
      </c>
      <c r="AB97" s="332">
        <v>0</v>
      </c>
      <c r="AC97" s="332">
        <v>0</v>
      </c>
      <c r="AD97" s="332">
        <v>0</v>
      </c>
      <c r="AE97" s="332">
        <v>0</v>
      </c>
      <c r="AF97"/>
      <c r="AG97"/>
    </row>
    <row r="98" spans="1:33" ht="12" x14ac:dyDescent="0.2">
      <c r="A98" s="156" t="s">
        <v>408</v>
      </c>
      <c r="B98" s="156" t="s">
        <v>409</v>
      </c>
      <c r="C98" s="156">
        <v>24</v>
      </c>
      <c r="D98" s="157"/>
      <c r="E98" s="157"/>
      <c r="F98" s="157">
        <v>0</v>
      </c>
      <c r="G98" s="157">
        <v>0</v>
      </c>
      <c r="H98" s="157">
        <v>0</v>
      </c>
      <c r="I98" s="157">
        <v>0</v>
      </c>
      <c r="J98" s="157">
        <v>0</v>
      </c>
      <c r="K98" s="157">
        <v>0</v>
      </c>
      <c r="L98" s="157">
        <v>0</v>
      </c>
      <c r="M98" s="157">
        <v>0</v>
      </c>
      <c r="N98" s="157">
        <v>0</v>
      </c>
      <c r="O98" s="157">
        <v>0</v>
      </c>
      <c r="P98" s="157">
        <v>0</v>
      </c>
      <c r="Q98" s="157">
        <v>0</v>
      </c>
      <c r="R98" s="157">
        <v>0</v>
      </c>
      <c r="S98" s="157">
        <v>0</v>
      </c>
      <c r="T98" s="157">
        <v>0</v>
      </c>
      <c r="U98" s="157">
        <v>0</v>
      </c>
      <c r="V98" s="314"/>
      <c r="W98" s="333" t="s">
        <v>408</v>
      </c>
      <c r="X98" s="334" t="s">
        <v>409</v>
      </c>
      <c r="Y98" s="335">
        <v>24</v>
      </c>
      <c r="Z98" s="336">
        <v>0</v>
      </c>
      <c r="AA98" s="336">
        <v>0</v>
      </c>
      <c r="AB98" s="336">
        <v>0</v>
      </c>
      <c r="AC98" s="336">
        <v>0</v>
      </c>
      <c r="AD98" s="336">
        <v>0</v>
      </c>
      <c r="AE98" s="336">
        <v>0</v>
      </c>
      <c r="AF98"/>
      <c r="AG98"/>
    </row>
    <row r="99" spans="1:33" ht="12" x14ac:dyDescent="0.2">
      <c r="A99" s="156" t="s">
        <v>51</v>
      </c>
      <c r="B99" s="156" t="s">
        <v>410</v>
      </c>
      <c r="C99" s="156">
        <v>25</v>
      </c>
      <c r="D99" s="157"/>
      <c r="E99" s="157"/>
      <c r="F99" s="157">
        <v>0</v>
      </c>
      <c r="G99" s="157">
        <v>0</v>
      </c>
      <c r="H99" s="157">
        <v>0</v>
      </c>
      <c r="I99" s="157">
        <v>0</v>
      </c>
      <c r="J99" s="157">
        <v>0</v>
      </c>
      <c r="K99" s="157">
        <v>0</v>
      </c>
      <c r="L99" s="157">
        <v>0</v>
      </c>
      <c r="M99" s="157">
        <v>0</v>
      </c>
      <c r="N99" s="157">
        <v>0</v>
      </c>
      <c r="O99" s="157">
        <v>0</v>
      </c>
      <c r="P99" s="157">
        <v>0</v>
      </c>
      <c r="Q99" s="157">
        <v>0</v>
      </c>
      <c r="R99" s="157">
        <v>0</v>
      </c>
      <c r="S99" s="157">
        <v>0</v>
      </c>
      <c r="T99" s="157">
        <v>0</v>
      </c>
      <c r="U99" s="157">
        <v>0</v>
      </c>
      <c r="V99" s="314"/>
      <c r="W99" s="329">
        <v>2</v>
      </c>
      <c r="X99" s="330" t="s">
        <v>410</v>
      </c>
      <c r="Y99" s="331">
        <v>25</v>
      </c>
      <c r="Z99" s="332">
        <v>0</v>
      </c>
      <c r="AA99" s="332">
        <v>0</v>
      </c>
      <c r="AB99" s="332">
        <v>0</v>
      </c>
      <c r="AC99" s="332">
        <v>0</v>
      </c>
      <c r="AD99" s="332">
        <v>0</v>
      </c>
      <c r="AE99" s="332">
        <v>0</v>
      </c>
      <c r="AF99"/>
      <c r="AG99"/>
    </row>
    <row r="100" spans="1:33" ht="12" x14ac:dyDescent="0.2">
      <c r="A100" s="156" t="s">
        <v>411</v>
      </c>
      <c r="B100" s="156" t="s">
        <v>412</v>
      </c>
      <c r="C100" s="156">
        <v>26</v>
      </c>
      <c r="D100" s="157"/>
      <c r="E100" s="157"/>
      <c r="F100" s="157">
        <v>0</v>
      </c>
      <c r="G100" s="157">
        <v>0</v>
      </c>
      <c r="H100" s="157">
        <v>0</v>
      </c>
      <c r="I100" s="157">
        <v>0</v>
      </c>
      <c r="J100" s="157">
        <v>0</v>
      </c>
      <c r="K100" s="157">
        <v>0</v>
      </c>
      <c r="L100" s="157">
        <v>0</v>
      </c>
      <c r="M100" s="157">
        <v>0</v>
      </c>
      <c r="N100" s="157">
        <v>0</v>
      </c>
      <c r="O100" s="157">
        <v>0</v>
      </c>
      <c r="P100" s="157">
        <v>0</v>
      </c>
      <c r="Q100" s="157">
        <v>0</v>
      </c>
      <c r="R100" s="157">
        <v>0</v>
      </c>
      <c r="S100" s="157">
        <v>0</v>
      </c>
      <c r="T100" s="157">
        <v>0</v>
      </c>
      <c r="U100" s="157">
        <v>0</v>
      </c>
      <c r="V100" s="314"/>
      <c r="W100" s="333" t="s">
        <v>411</v>
      </c>
      <c r="X100" s="334" t="s">
        <v>412</v>
      </c>
      <c r="Y100" s="335">
        <v>26</v>
      </c>
      <c r="Z100" s="336">
        <v>0</v>
      </c>
      <c r="AA100" s="336">
        <v>0</v>
      </c>
      <c r="AB100" s="336">
        <v>0</v>
      </c>
      <c r="AC100" s="336">
        <v>0</v>
      </c>
      <c r="AD100" s="336">
        <v>0</v>
      </c>
      <c r="AE100" s="336">
        <v>0</v>
      </c>
      <c r="AF100"/>
      <c r="AG100"/>
    </row>
    <row r="101" spans="1:33" ht="12" x14ac:dyDescent="0.2">
      <c r="A101" s="156" t="s">
        <v>54</v>
      </c>
      <c r="B101" s="156" t="s">
        <v>413</v>
      </c>
      <c r="C101" s="156">
        <v>27</v>
      </c>
      <c r="D101" s="157"/>
      <c r="E101" s="157"/>
      <c r="F101" s="157">
        <v>0</v>
      </c>
      <c r="G101" s="157">
        <v>0</v>
      </c>
      <c r="H101" s="157">
        <v>0</v>
      </c>
      <c r="I101" s="157">
        <v>0</v>
      </c>
      <c r="J101" s="157">
        <v>0</v>
      </c>
      <c r="K101" s="157">
        <v>0</v>
      </c>
      <c r="L101" s="157">
        <v>0</v>
      </c>
      <c r="M101" s="157">
        <v>0</v>
      </c>
      <c r="N101" s="157">
        <v>0</v>
      </c>
      <c r="O101" s="157">
        <v>0</v>
      </c>
      <c r="P101" s="157">
        <v>0</v>
      </c>
      <c r="Q101" s="157">
        <v>0</v>
      </c>
      <c r="R101" s="157">
        <v>0</v>
      </c>
      <c r="S101" s="157">
        <v>0</v>
      </c>
      <c r="T101" s="157">
        <v>0</v>
      </c>
      <c r="U101" s="157">
        <v>0</v>
      </c>
      <c r="V101" s="314"/>
      <c r="W101" s="329">
        <v>4</v>
      </c>
      <c r="X101" s="330" t="s">
        <v>413</v>
      </c>
      <c r="Y101" s="331">
        <v>27</v>
      </c>
      <c r="Z101" s="332">
        <v>0</v>
      </c>
      <c r="AA101" s="332">
        <v>0</v>
      </c>
      <c r="AB101" s="332">
        <v>0</v>
      </c>
      <c r="AC101" s="332">
        <v>0</v>
      </c>
      <c r="AD101" s="332">
        <v>0</v>
      </c>
      <c r="AE101" s="332">
        <v>0</v>
      </c>
      <c r="AF101"/>
      <c r="AG101"/>
    </row>
    <row r="102" spans="1:33" ht="12" x14ac:dyDescent="0.2">
      <c r="A102" s="156" t="s">
        <v>56</v>
      </c>
      <c r="B102" s="156" t="s">
        <v>414</v>
      </c>
      <c r="C102" s="156">
        <v>28</v>
      </c>
      <c r="D102" s="157"/>
      <c r="E102" s="157"/>
      <c r="F102" s="157">
        <v>0</v>
      </c>
      <c r="G102" s="157">
        <v>0</v>
      </c>
      <c r="H102" s="157">
        <v>0</v>
      </c>
      <c r="I102" s="157">
        <v>0</v>
      </c>
      <c r="J102" s="157">
        <v>0</v>
      </c>
      <c r="K102" s="157">
        <v>0</v>
      </c>
      <c r="L102" s="157">
        <v>0</v>
      </c>
      <c r="M102" s="157">
        <v>0</v>
      </c>
      <c r="N102" s="157">
        <v>0</v>
      </c>
      <c r="O102" s="157">
        <v>0</v>
      </c>
      <c r="P102" s="157">
        <v>0</v>
      </c>
      <c r="Q102" s="157">
        <v>0</v>
      </c>
      <c r="R102" s="157">
        <v>0</v>
      </c>
      <c r="S102" s="157">
        <v>0</v>
      </c>
      <c r="T102" s="157">
        <v>0</v>
      </c>
      <c r="U102" s="157">
        <v>0</v>
      </c>
      <c r="V102" s="314"/>
      <c r="W102" s="333">
        <v>5</v>
      </c>
      <c r="X102" s="334" t="s">
        <v>414</v>
      </c>
      <c r="Y102" s="335">
        <v>28</v>
      </c>
      <c r="Z102" s="336">
        <v>0</v>
      </c>
      <c r="AA102" s="336">
        <v>0</v>
      </c>
      <c r="AB102" s="336">
        <v>0</v>
      </c>
      <c r="AC102" s="336">
        <v>0</v>
      </c>
      <c r="AD102" s="336">
        <v>0</v>
      </c>
      <c r="AE102" s="336">
        <v>0</v>
      </c>
      <c r="AF102"/>
      <c r="AG102"/>
    </row>
    <row r="103" spans="1:33" ht="12" x14ac:dyDescent="0.2">
      <c r="A103" s="156" t="s">
        <v>279</v>
      </c>
      <c r="B103" s="156" t="s">
        <v>415</v>
      </c>
      <c r="C103" s="156">
        <v>29</v>
      </c>
      <c r="D103" s="157"/>
      <c r="E103" s="157"/>
      <c r="F103" s="157">
        <v>0</v>
      </c>
      <c r="G103" s="157">
        <v>0</v>
      </c>
      <c r="H103" s="157">
        <v>0</v>
      </c>
      <c r="I103" s="157">
        <v>0</v>
      </c>
      <c r="J103" s="157">
        <v>0</v>
      </c>
      <c r="K103" s="157">
        <v>0</v>
      </c>
      <c r="L103" s="157">
        <v>0</v>
      </c>
      <c r="M103" s="157">
        <v>0</v>
      </c>
      <c r="N103" s="157">
        <v>0</v>
      </c>
      <c r="O103" s="157">
        <v>0</v>
      </c>
      <c r="P103" s="157">
        <v>0</v>
      </c>
      <c r="Q103" s="157">
        <v>0</v>
      </c>
      <c r="R103" s="157">
        <v>0</v>
      </c>
      <c r="S103" s="157">
        <v>0</v>
      </c>
      <c r="T103" s="157">
        <v>0</v>
      </c>
      <c r="U103" s="157">
        <v>0</v>
      </c>
      <c r="V103" s="314"/>
      <c r="W103" s="329">
        <v>6</v>
      </c>
      <c r="X103" s="330" t="s">
        <v>415</v>
      </c>
      <c r="Y103" s="331">
        <v>29</v>
      </c>
      <c r="Z103" s="332">
        <v>0</v>
      </c>
      <c r="AA103" s="332">
        <v>0</v>
      </c>
      <c r="AB103" s="332">
        <v>0</v>
      </c>
      <c r="AC103" s="332">
        <v>0</v>
      </c>
      <c r="AD103" s="332">
        <v>0</v>
      </c>
      <c r="AE103" s="332">
        <v>0</v>
      </c>
      <c r="AF103"/>
      <c r="AG103"/>
    </row>
    <row r="104" spans="1:33" ht="12" x14ac:dyDescent="0.2">
      <c r="A104" s="156" t="s">
        <v>58</v>
      </c>
      <c r="B104" s="156" t="s">
        <v>416</v>
      </c>
      <c r="C104" s="156">
        <v>30</v>
      </c>
      <c r="D104" s="157"/>
      <c r="E104" s="157"/>
      <c r="F104" s="157">
        <v>0</v>
      </c>
      <c r="G104" s="157">
        <v>0</v>
      </c>
      <c r="H104" s="157">
        <v>0</v>
      </c>
      <c r="I104" s="157">
        <v>0</v>
      </c>
      <c r="J104" s="157">
        <v>0</v>
      </c>
      <c r="K104" s="157">
        <v>0</v>
      </c>
      <c r="L104" s="157">
        <v>0</v>
      </c>
      <c r="M104" s="157">
        <v>0</v>
      </c>
      <c r="N104" s="157">
        <v>0</v>
      </c>
      <c r="O104" s="157">
        <v>0</v>
      </c>
      <c r="P104" s="157">
        <v>0</v>
      </c>
      <c r="Q104" s="157">
        <v>0</v>
      </c>
      <c r="R104" s="157">
        <v>0</v>
      </c>
      <c r="S104" s="157">
        <v>0</v>
      </c>
      <c r="T104" s="157">
        <v>0</v>
      </c>
      <c r="U104" s="157">
        <v>0</v>
      </c>
      <c r="V104" s="314"/>
      <c r="W104" s="333">
        <v>7</v>
      </c>
      <c r="X104" s="334" t="s">
        <v>416</v>
      </c>
      <c r="Y104" s="335">
        <v>30</v>
      </c>
      <c r="Z104" s="336">
        <v>0</v>
      </c>
      <c r="AA104" s="336">
        <v>0</v>
      </c>
      <c r="AB104" s="336">
        <v>0</v>
      </c>
      <c r="AC104" s="336">
        <v>0</v>
      </c>
      <c r="AD104" s="336">
        <v>0</v>
      </c>
      <c r="AE104" s="336">
        <v>0</v>
      </c>
      <c r="AF104"/>
      <c r="AG104"/>
    </row>
    <row r="105" spans="1:33" ht="12" x14ac:dyDescent="0.2">
      <c r="A105" s="156" t="s">
        <v>14</v>
      </c>
      <c r="B105" s="156" t="s">
        <v>417</v>
      </c>
      <c r="C105" s="156">
        <v>31</v>
      </c>
      <c r="D105" s="157">
        <v>27850000</v>
      </c>
      <c r="E105" s="157">
        <v>46377000</v>
      </c>
      <c r="F105" s="157">
        <v>57068124.630000003</v>
      </c>
      <c r="G105" s="157">
        <v>57715756.479999997</v>
      </c>
      <c r="H105" s="157">
        <v>64198469.25</v>
      </c>
      <c r="I105" s="157">
        <v>70271624.140000001</v>
      </c>
      <c r="J105" s="157">
        <v>82856525.209999993</v>
      </c>
      <c r="K105" s="157">
        <v>75952281.879999995</v>
      </c>
      <c r="L105" s="157">
        <v>92425753.689999998</v>
      </c>
      <c r="M105" s="157">
        <v>83476657.730000004</v>
      </c>
      <c r="N105" s="157">
        <v>107331528.09999999</v>
      </c>
      <c r="O105" s="157">
        <v>120533885.06</v>
      </c>
      <c r="P105" s="157">
        <v>97391316.959999993</v>
      </c>
      <c r="Q105" s="157">
        <v>92551769.859999999</v>
      </c>
      <c r="R105" s="157">
        <v>90408533.530000001</v>
      </c>
      <c r="S105" s="157">
        <v>104787172.48999999</v>
      </c>
      <c r="T105" s="157">
        <v>100085333.12</v>
      </c>
      <c r="U105" s="157">
        <v>73797813.129999995</v>
      </c>
      <c r="V105" s="314"/>
      <c r="W105" s="329" t="s">
        <v>14</v>
      </c>
      <c r="X105" s="330" t="s">
        <v>417</v>
      </c>
      <c r="Y105" s="331">
        <v>31</v>
      </c>
      <c r="Z105" s="332">
        <v>73928356.609999999</v>
      </c>
      <c r="AA105" s="332">
        <v>-130543.48</v>
      </c>
      <c r="AB105" s="332">
        <v>73797813.129999995</v>
      </c>
      <c r="AC105" s="332">
        <v>100215876.59999999</v>
      </c>
      <c r="AD105" s="332">
        <v>-130543.48</v>
      </c>
      <c r="AE105" s="332">
        <v>100085333.12</v>
      </c>
      <c r="AF105"/>
      <c r="AG105"/>
    </row>
    <row r="106" spans="1:33" ht="12" x14ac:dyDescent="0.2">
      <c r="A106" s="156" t="s">
        <v>418</v>
      </c>
      <c r="B106" s="156" t="s">
        <v>65</v>
      </c>
      <c r="C106" s="156">
        <v>32</v>
      </c>
      <c r="D106" s="157">
        <v>60000</v>
      </c>
      <c r="E106" s="157">
        <v>108000</v>
      </c>
      <c r="F106" s="157">
        <v>220141.98</v>
      </c>
      <c r="G106" s="157">
        <v>304325.98</v>
      </c>
      <c r="H106" s="157">
        <v>379773.63</v>
      </c>
      <c r="I106" s="157">
        <v>485750.3</v>
      </c>
      <c r="J106" s="157">
        <v>626487.24</v>
      </c>
      <c r="K106" s="157">
        <v>755072.94</v>
      </c>
      <c r="L106" s="157">
        <v>1299554.71</v>
      </c>
      <c r="M106" s="157">
        <v>2382073.2599999998</v>
      </c>
      <c r="N106" s="157">
        <v>2250737.88</v>
      </c>
      <c r="O106" s="157">
        <v>2519177.83</v>
      </c>
      <c r="P106" s="157">
        <v>2583010.35</v>
      </c>
      <c r="Q106" s="157">
        <v>2294714.67</v>
      </c>
      <c r="R106" s="157">
        <v>2548630</v>
      </c>
      <c r="S106" s="157">
        <v>2585027.81</v>
      </c>
      <c r="T106" s="157">
        <v>2304101.94</v>
      </c>
      <c r="U106" s="157">
        <v>844157.2</v>
      </c>
      <c r="V106" s="314"/>
      <c r="W106" s="333" t="s">
        <v>418</v>
      </c>
      <c r="X106" s="334" t="s">
        <v>65</v>
      </c>
      <c r="Y106" s="335">
        <v>32</v>
      </c>
      <c r="Z106" s="336">
        <v>844157.2</v>
      </c>
      <c r="AA106" s="336">
        <v>0</v>
      </c>
      <c r="AB106" s="336">
        <v>844157.2</v>
      </c>
      <c r="AC106" s="336">
        <v>2304101.94</v>
      </c>
      <c r="AD106" s="336">
        <v>0</v>
      </c>
      <c r="AE106" s="336">
        <v>2304101.94</v>
      </c>
      <c r="AF106"/>
      <c r="AG106"/>
    </row>
    <row r="107" spans="1:33" ht="12" x14ac:dyDescent="0.2">
      <c r="A107" s="156" t="s">
        <v>419</v>
      </c>
      <c r="B107" s="156" t="s">
        <v>66</v>
      </c>
      <c r="C107" s="156">
        <v>33</v>
      </c>
      <c r="D107" s="157">
        <v>60000</v>
      </c>
      <c r="E107" s="157">
        <v>108000</v>
      </c>
      <c r="F107" s="157">
        <v>216105.01</v>
      </c>
      <c r="G107" s="157">
        <v>249741.83</v>
      </c>
      <c r="H107" s="157">
        <v>379773.63</v>
      </c>
      <c r="I107" s="157">
        <v>485750.3</v>
      </c>
      <c r="J107" s="157">
        <v>626487.24</v>
      </c>
      <c r="K107" s="157">
        <v>681566.83</v>
      </c>
      <c r="L107" s="157">
        <v>1299554.71</v>
      </c>
      <c r="M107" s="157">
        <v>2382073.2599999998</v>
      </c>
      <c r="N107" s="157">
        <v>2224391.88</v>
      </c>
      <c r="O107" s="157">
        <v>2253317.83</v>
      </c>
      <c r="P107" s="157">
        <v>2358788.35</v>
      </c>
      <c r="Q107" s="157">
        <v>1983579.67</v>
      </c>
      <c r="R107" s="157">
        <v>2242377</v>
      </c>
      <c r="S107" s="157">
        <v>2206356.81</v>
      </c>
      <c r="T107" s="157">
        <v>1946259.62</v>
      </c>
      <c r="U107" s="157">
        <v>566941.88</v>
      </c>
      <c r="V107" s="314"/>
      <c r="W107" s="329" t="s">
        <v>419</v>
      </c>
      <c r="X107" s="330" t="s">
        <v>66</v>
      </c>
      <c r="Y107" s="331">
        <v>33</v>
      </c>
      <c r="Z107" s="332">
        <v>566941.88</v>
      </c>
      <c r="AA107" s="332">
        <v>0</v>
      </c>
      <c r="AB107" s="332">
        <v>566941.88</v>
      </c>
      <c r="AC107" s="332">
        <v>1946259.62</v>
      </c>
      <c r="AD107" s="332">
        <v>0</v>
      </c>
      <c r="AE107" s="332">
        <v>1946259.62</v>
      </c>
      <c r="AF107"/>
      <c r="AG107"/>
    </row>
    <row r="108" spans="1:33" ht="12" x14ac:dyDescent="0.2">
      <c r="A108" s="156" t="s">
        <v>51</v>
      </c>
      <c r="B108" s="156" t="s">
        <v>420</v>
      </c>
      <c r="C108" s="156">
        <v>34</v>
      </c>
      <c r="D108" s="157"/>
      <c r="E108" s="157"/>
      <c r="F108" s="157">
        <v>0</v>
      </c>
      <c r="G108" s="157">
        <v>0</v>
      </c>
      <c r="H108" s="157">
        <v>0</v>
      </c>
      <c r="I108" s="157">
        <v>0</v>
      </c>
      <c r="J108" s="157">
        <v>0</v>
      </c>
      <c r="K108" s="157">
        <v>73506.11</v>
      </c>
      <c r="L108" s="157">
        <v>0</v>
      </c>
      <c r="M108" s="157">
        <v>0</v>
      </c>
      <c r="N108" s="157">
        <v>26346</v>
      </c>
      <c r="O108" s="157">
        <v>265860</v>
      </c>
      <c r="P108" s="157">
        <v>224222</v>
      </c>
      <c r="Q108" s="157">
        <v>311135</v>
      </c>
      <c r="R108" s="157">
        <v>306253</v>
      </c>
      <c r="S108" s="157">
        <v>378671</v>
      </c>
      <c r="T108" s="157">
        <v>357842.32</v>
      </c>
      <c r="U108" s="157">
        <v>277215.32</v>
      </c>
      <c r="V108" s="314"/>
      <c r="W108" s="333">
        <v>2</v>
      </c>
      <c r="X108" s="334" t="s">
        <v>420</v>
      </c>
      <c r="Y108" s="335">
        <v>34</v>
      </c>
      <c r="Z108" s="336">
        <v>277215.32</v>
      </c>
      <c r="AA108" s="336">
        <v>0</v>
      </c>
      <c r="AB108" s="336">
        <v>277215.32</v>
      </c>
      <c r="AC108" s="336">
        <v>357842.32</v>
      </c>
      <c r="AD108" s="336">
        <v>0</v>
      </c>
      <c r="AE108" s="336">
        <v>357842.32</v>
      </c>
      <c r="AF108"/>
      <c r="AG108"/>
    </row>
    <row r="109" spans="1:33" ht="12" x14ac:dyDescent="0.2">
      <c r="A109" s="156" t="s">
        <v>52</v>
      </c>
      <c r="B109" s="156" t="s">
        <v>68</v>
      </c>
      <c r="C109" s="156">
        <v>35</v>
      </c>
      <c r="D109" s="157"/>
      <c r="E109" s="157"/>
      <c r="F109" s="157">
        <v>0</v>
      </c>
      <c r="G109" s="157">
        <v>0</v>
      </c>
      <c r="H109" s="157">
        <v>0</v>
      </c>
      <c r="I109" s="157">
        <v>0</v>
      </c>
      <c r="J109" s="157">
        <v>0</v>
      </c>
      <c r="K109" s="157">
        <v>0</v>
      </c>
      <c r="L109" s="157">
        <v>0</v>
      </c>
      <c r="M109" s="157">
        <v>0</v>
      </c>
      <c r="N109" s="157">
        <v>0</v>
      </c>
      <c r="O109" s="157">
        <v>0</v>
      </c>
      <c r="P109" s="157">
        <v>0</v>
      </c>
      <c r="Q109" s="157">
        <v>0</v>
      </c>
      <c r="R109" s="157">
        <v>0</v>
      </c>
      <c r="S109" s="157">
        <v>0</v>
      </c>
      <c r="T109" s="157">
        <v>0</v>
      </c>
      <c r="U109" s="157">
        <v>0</v>
      </c>
      <c r="V109" s="314"/>
      <c r="W109" s="329">
        <v>3</v>
      </c>
      <c r="X109" s="330" t="s">
        <v>68</v>
      </c>
      <c r="Y109" s="331">
        <v>35</v>
      </c>
      <c r="Z109" s="332">
        <v>0</v>
      </c>
      <c r="AA109" s="332">
        <v>0</v>
      </c>
      <c r="AB109" s="332">
        <v>0</v>
      </c>
      <c r="AC109" s="332">
        <v>0</v>
      </c>
      <c r="AD109" s="332">
        <v>0</v>
      </c>
      <c r="AE109" s="332">
        <v>0</v>
      </c>
      <c r="AF109"/>
      <c r="AG109"/>
    </row>
    <row r="110" spans="1:33" ht="12" x14ac:dyDescent="0.2">
      <c r="A110" s="156" t="s">
        <v>54</v>
      </c>
      <c r="B110" s="156" t="s">
        <v>421</v>
      </c>
      <c r="C110" s="156">
        <v>36</v>
      </c>
      <c r="D110" s="157"/>
      <c r="E110" s="157"/>
      <c r="F110" s="157">
        <v>0</v>
      </c>
      <c r="G110" s="157">
        <v>0</v>
      </c>
      <c r="H110" s="157">
        <v>0</v>
      </c>
      <c r="I110" s="157">
        <v>0</v>
      </c>
      <c r="J110" s="157">
        <v>0</v>
      </c>
      <c r="K110" s="157">
        <v>0</v>
      </c>
      <c r="L110" s="157">
        <v>0</v>
      </c>
      <c r="M110" s="157">
        <v>0</v>
      </c>
      <c r="N110" s="157">
        <v>0</v>
      </c>
      <c r="O110" s="157">
        <v>0</v>
      </c>
      <c r="P110" s="157">
        <v>0</v>
      </c>
      <c r="Q110" s="157">
        <v>0</v>
      </c>
      <c r="R110" s="157">
        <v>0</v>
      </c>
      <c r="S110" s="157">
        <v>0</v>
      </c>
      <c r="T110" s="157">
        <v>0</v>
      </c>
      <c r="U110" s="157">
        <v>0</v>
      </c>
      <c r="V110" s="314"/>
      <c r="W110" s="333">
        <v>4</v>
      </c>
      <c r="X110" s="334" t="s">
        <v>421</v>
      </c>
      <c r="Y110" s="335">
        <v>36</v>
      </c>
      <c r="Z110" s="336">
        <v>0</v>
      </c>
      <c r="AA110" s="336">
        <v>0</v>
      </c>
      <c r="AB110" s="336">
        <v>0</v>
      </c>
      <c r="AC110" s="336">
        <v>0</v>
      </c>
      <c r="AD110" s="336">
        <v>0</v>
      </c>
      <c r="AE110" s="336">
        <v>0</v>
      </c>
      <c r="AF110"/>
      <c r="AG110"/>
    </row>
    <row r="111" spans="1:33" ht="12" x14ac:dyDescent="0.2">
      <c r="A111" s="156" t="s">
        <v>56</v>
      </c>
      <c r="B111" s="156" t="s">
        <v>69</v>
      </c>
      <c r="C111" s="156">
        <v>37</v>
      </c>
      <c r="D111" s="157"/>
      <c r="E111" s="157"/>
      <c r="F111" s="157">
        <v>4036.97</v>
      </c>
      <c r="G111" s="157">
        <v>54584.15</v>
      </c>
      <c r="H111" s="157">
        <v>0</v>
      </c>
      <c r="I111" s="157">
        <v>0</v>
      </c>
      <c r="J111" s="157">
        <v>0</v>
      </c>
      <c r="K111" s="157">
        <v>0</v>
      </c>
      <c r="L111" s="157">
        <v>0</v>
      </c>
      <c r="M111" s="157">
        <v>0</v>
      </c>
      <c r="N111" s="157">
        <v>0</v>
      </c>
      <c r="O111" s="157">
        <v>0</v>
      </c>
      <c r="P111" s="157">
        <v>0</v>
      </c>
      <c r="Q111" s="157">
        <v>0</v>
      </c>
      <c r="R111" s="157">
        <v>0</v>
      </c>
      <c r="S111" s="157">
        <v>0</v>
      </c>
      <c r="T111" s="157">
        <v>0</v>
      </c>
      <c r="U111" s="157">
        <v>0</v>
      </c>
      <c r="V111" s="314"/>
      <c r="W111" s="329">
        <v>5</v>
      </c>
      <c r="X111" s="330" t="s">
        <v>69</v>
      </c>
      <c r="Y111" s="331">
        <v>37</v>
      </c>
      <c r="Z111" s="332">
        <v>0</v>
      </c>
      <c r="AA111" s="332">
        <v>0</v>
      </c>
      <c r="AB111" s="332">
        <v>0</v>
      </c>
      <c r="AC111" s="332">
        <v>0</v>
      </c>
      <c r="AD111" s="332">
        <v>0</v>
      </c>
      <c r="AE111" s="332">
        <v>0</v>
      </c>
      <c r="AF111"/>
      <c r="AG111"/>
    </row>
    <row r="112" spans="1:33" ht="12" x14ac:dyDescent="0.2">
      <c r="A112" s="156" t="s">
        <v>279</v>
      </c>
      <c r="B112" s="156" t="s">
        <v>70</v>
      </c>
      <c r="C112" s="156">
        <v>38</v>
      </c>
      <c r="D112" s="157"/>
      <c r="E112" s="157"/>
      <c r="F112" s="157">
        <v>0</v>
      </c>
      <c r="G112" s="157">
        <v>0</v>
      </c>
      <c r="H112" s="157">
        <v>0</v>
      </c>
      <c r="I112" s="157">
        <v>0</v>
      </c>
      <c r="J112" s="157">
        <v>0</v>
      </c>
      <c r="K112" s="157">
        <v>0</v>
      </c>
      <c r="L112" s="157">
        <v>0</v>
      </c>
      <c r="M112" s="157">
        <v>0</v>
      </c>
      <c r="N112" s="157">
        <v>0</v>
      </c>
      <c r="O112" s="157">
        <v>0</v>
      </c>
      <c r="P112" s="157">
        <v>0</v>
      </c>
      <c r="Q112" s="157">
        <v>0</v>
      </c>
      <c r="R112" s="157">
        <v>0</v>
      </c>
      <c r="S112" s="157">
        <v>0</v>
      </c>
      <c r="T112" s="157">
        <v>0</v>
      </c>
      <c r="U112" s="157">
        <v>0</v>
      </c>
      <c r="V112" s="314"/>
      <c r="W112" s="333">
        <v>6</v>
      </c>
      <c r="X112" s="334" t="s">
        <v>70</v>
      </c>
      <c r="Y112" s="335">
        <v>38</v>
      </c>
      <c r="Z112" s="336">
        <v>0</v>
      </c>
      <c r="AA112" s="336">
        <v>0</v>
      </c>
      <c r="AB112" s="336">
        <v>0</v>
      </c>
      <c r="AC112" s="336">
        <v>0</v>
      </c>
      <c r="AD112" s="336">
        <v>0</v>
      </c>
      <c r="AE112" s="336">
        <v>0</v>
      </c>
      <c r="AF112"/>
      <c r="AG112"/>
    </row>
    <row r="113" spans="1:33" ht="12" x14ac:dyDescent="0.2">
      <c r="A113" s="156" t="s">
        <v>422</v>
      </c>
      <c r="B113" s="156" t="s">
        <v>72</v>
      </c>
      <c r="C113" s="156">
        <v>39</v>
      </c>
      <c r="D113" s="157"/>
      <c r="E113" s="157"/>
      <c r="F113" s="157">
        <v>0</v>
      </c>
      <c r="G113" s="157">
        <v>0</v>
      </c>
      <c r="H113" s="157">
        <v>0</v>
      </c>
      <c r="I113" s="157">
        <v>0</v>
      </c>
      <c r="J113" s="157">
        <v>0</v>
      </c>
      <c r="K113" s="157">
        <v>0</v>
      </c>
      <c r="L113" s="157">
        <v>0</v>
      </c>
      <c r="M113" s="157">
        <v>0</v>
      </c>
      <c r="N113" s="157">
        <v>0</v>
      </c>
      <c r="O113" s="157">
        <v>0</v>
      </c>
      <c r="P113" s="157">
        <v>0</v>
      </c>
      <c r="Q113" s="157">
        <v>0</v>
      </c>
      <c r="R113" s="157">
        <v>0</v>
      </c>
      <c r="S113" s="157">
        <v>0</v>
      </c>
      <c r="T113" s="157">
        <v>0</v>
      </c>
      <c r="U113" s="157">
        <v>0</v>
      </c>
      <c r="V113" s="314"/>
      <c r="W113" s="329" t="s">
        <v>422</v>
      </c>
      <c r="X113" s="330" t="s">
        <v>72</v>
      </c>
      <c r="Y113" s="331">
        <v>39</v>
      </c>
      <c r="Z113" s="332">
        <v>0</v>
      </c>
      <c r="AA113" s="332">
        <v>0</v>
      </c>
      <c r="AB113" s="332">
        <v>0</v>
      </c>
      <c r="AC113" s="332">
        <v>0</v>
      </c>
      <c r="AD113" s="332">
        <v>0</v>
      </c>
      <c r="AE113" s="332">
        <v>0</v>
      </c>
      <c r="AF113"/>
      <c r="AG113"/>
    </row>
    <row r="114" spans="1:33" ht="12" x14ac:dyDescent="0.2">
      <c r="A114" s="156" t="s">
        <v>423</v>
      </c>
      <c r="B114" s="156" t="s">
        <v>424</v>
      </c>
      <c r="C114" s="156">
        <v>40</v>
      </c>
      <c r="D114" s="157"/>
      <c r="E114" s="157"/>
      <c r="F114" s="157">
        <v>0</v>
      </c>
      <c r="G114" s="157">
        <v>0</v>
      </c>
      <c r="H114" s="157">
        <v>0</v>
      </c>
      <c r="I114" s="157">
        <v>0</v>
      </c>
      <c r="J114" s="157">
        <v>0</v>
      </c>
      <c r="K114" s="157">
        <v>0</v>
      </c>
      <c r="L114" s="157">
        <v>0</v>
      </c>
      <c r="M114" s="157">
        <v>0</v>
      </c>
      <c r="N114" s="157">
        <v>0</v>
      </c>
      <c r="O114" s="157">
        <v>0</v>
      </c>
      <c r="P114" s="157">
        <v>0</v>
      </c>
      <c r="Q114" s="157">
        <v>0</v>
      </c>
      <c r="R114" s="157">
        <v>0</v>
      </c>
      <c r="S114" s="157">
        <v>0</v>
      </c>
      <c r="T114" s="157">
        <v>0</v>
      </c>
      <c r="U114" s="157">
        <v>0</v>
      </c>
      <c r="V114" s="314"/>
      <c r="W114" s="333" t="s">
        <v>423</v>
      </c>
      <c r="X114" s="334" t="s">
        <v>424</v>
      </c>
      <c r="Y114" s="335">
        <v>40</v>
      </c>
      <c r="Z114" s="336">
        <v>0</v>
      </c>
      <c r="AA114" s="336">
        <v>0</v>
      </c>
      <c r="AB114" s="336">
        <v>0</v>
      </c>
      <c r="AC114" s="336">
        <v>0</v>
      </c>
      <c r="AD114" s="336">
        <v>0</v>
      </c>
      <c r="AE114" s="336">
        <v>0</v>
      </c>
      <c r="AF114"/>
      <c r="AG114"/>
    </row>
    <row r="115" spans="1:33" ht="12" x14ac:dyDescent="0.2">
      <c r="A115" s="156" t="s">
        <v>51</v>
      </c>
      <c r="B115" s="156" t="s">
        <v>425</v>
      </c>
      <c r="C115" s="156">
        <v>41</v>
      </c>
      <c r="D115" s="157"/>
      <c r="E115" s="157"/>
      <c r="F115" s="157">
        <v>0</v>
      </c>
      <c r="G115" s="157">
        <v>0</v>
      </c>
      <c r="H115" s="157">
        <v>0</v>
      </c>
      <c r="I115" s="157">
        <v>0</v>
      </c>
      <c r="J115" s="157">
        <v>0</v>
      </c>
      <c r="K115" s="157">
        <v>0</v>
      </c>
      <c r="L115" s="157">
        <v>0</v>
      </c>
      <c r="M115" s="157">
        <v>0</v>
      </c>
      <c r="N115" s="157">
        <v>0</v>
      </c>
      <c r="O115" s="157">
        <v>0</v>
      </c>
      <c r="P115" s="157">
        <v>0</v>
      </c>
      <c r="Q115" s="157">
        <v>0</v>
      </c>
      <c r="R115" s="157">
        <v>0</v>
      </c>
      <c r="S115" s="157">
        <v>0</v>
      </c>
      <c r="T115" s="157">
        <v>0</v>
      </c>
      <c r="U115" s="157">
        <v>0</v>
      </c>
      <c r="V115" s="314"/>
      <c r="W115" s="329">
        <v>2</v>
      </c>
      <c r="X115" s="330" t="s">
        <v>425</v>
      </c>
      <c r="Y115" s="331">
        <v>41</v>
      </c>
      <c r="Z115" s="332">
        <v>0</v>
      </c>
      <c r="AA115" s="332">
        <v>0</v>
      </c>
      <c r="AB115" s="332">
        <v>0</v>
      </c>
      <c r="AC115" s="332">
        <v>0</v>
      </c>
      <c r="AD115" s="332">
        <v>0</v>
      </c>
      <c r="AE115" s="332">
        <v>0</v>
      </c>
      <c r="AF115"/>
      <c r="AG115"/>
    </row>
    <row r="116" spans="1:33" ht="12" x14ac:dyDescent="0.2">
      <c r="A116" s="156" t="s">
        <v>52</v>
      </c>
      <c r="B116" s="156" t="s">
        <v>426</v>
      </c>
      <c r="C116" s="156">
        <v>42</v>
      </c>
      <c r="D116" s="157"/>
      <c r="E116" s="157"/>
      <c r="F116" s="157">
        <v>0</v>
      </c>
      <c r="G116" s="157">
        <v>0</v>
      </c>
      <c r="H116" s="157">
        <v>0</v>
      </c>
      <c r="I116" s="157">
        <v>0</v>
      </c>
      <c r="J116" s="157">
        <v>0</v>
      </c>
      <c r="K116" s="157">
        <v>0</v>
      </c>
      <c r="L116" s="157">
        <v>0</v>
      </c>
      <c r="M116" s="157">
        <v>0</v>
      </c>
      <c r="N116" s="157">
        <v>0</v>
      </c>
      <c r="O116" s="157">
        <v>0</v>
      </c>
      <c r="P116" s="157">
        <v>0</v>
      </c>
      <c r="Q116" s="157">
        <v>0</v>
      </c>
      <c r="R116" s="157">
        <v>0</v>
      </c>
      <c r="S116" s="157">
        <v>0</v>
      </c>
      <c r="T116" s="157">
        <v>0</v>
      </c>
      <c r="U116" s="157">
        <v>0</v>
      </c>
      <c r="V116" s="314"/>
      <c r="W116" s="333">
        <v>3</v>
      </c>
      <c r="X116" s="334" t="s">
        <v>426</v>
      </c>
      <c r="Y116" s="335">
        <v>42</v>
      </c>
      <c r="Z116" s="336">
        <v>0</v>
      </c>
      <c r="AA116" s="336">
        <v>0</v>
      </c>
      <c r="AB116" s="336">
        <v>0</v>
      </c>
      <c r="AC116" s="336">
        <v>0</v>
      </c>
      <c r="AD116" s="336">
        <v>0</v>
      </c>
      <c r="AE116" s="336">
        <v>0</v>
      </c>
      <c r="AF116"/>
      <c r="AG116"/>
    </row>
    <row r="117" spans="1:33" ht="12" x14ac:dyDescent="0.2">
      <c r="A117" s="156" t="s">
        <v>54</v>
      </c>
      <c r="B117" s="156" t="s">
        <v>427</v>
      </c>
      <c r="C117" s="156">
        <v>43</v>
      </c>
      <c r="D117" s="157"/>
      <c r="E117" s="157"/>
      <c r="F117" s="157">
        <v>0</v>
      </c>
      <c r="G117" s="157">
        <v>0</v>
      </c>
      <c r="H117" s="157">
        <v>0</v>
      </c>
      <c r="I117" s="157">
        <v>0</v>
      </c>
      <c r="J117" s="157">
        <v>0</v>
      </c>
      <c r="K117" s="157">
        <v>0</v>
      </c>
      <c r="L117" s="157">
        <v>0</v>
      </c>
      <c r="M117" s="157">
        <v>0</v>
      </c>
      <c r="N117" s="157">
        <v>0</v>
      </c>
      <c r="O117" s="157">
        <v>0</v>
      </c>
      <c r="P117" s="157">
        <v>0</v>
      </c>
      <c r="Q117" s="157">
        <v>0</v>
      </c>
      <c r="R117" s="157">
        <v>0</v>
      </c>
      <c r="S117" s="157">
        <v>0</v>
      </c>
      <c r="T117" s="157">
        <v>0</v>
      </c>
      <c r="U117" s="157">
        <v>0</v>
      </c>
      <c r="V117" s="314"/>
      <c r="W117" s="329">
        <v>4</v>
      </c>
      <c r="X117" s="330" t="s">
        <v>427</v>
      </c>
      <c r="Y117" s="331">
        <v>43</v>
      </c>
      <c r="Z117" s="332">
        <v>0</v>
      </c>
      <c r="AA117" s="332">
        <v>0</v>
      </c>
      <c r="AB117" s="332">
        <v>0</v>
      </c>
      <c r="AC117" s="332">
        <v>0</v>
      </c>
      <c r="AD117" s="332">
        <v>0</v>
      </c>
      <c r="AE117" s="332">
        <v>0</v>
      </c>
      <c r="AF117"/>
      <c r="AG117"/>
    </row>
    <row r="118" spans="1:33" ht="12" x14ac:dyDescent="0.2">
      <c r="A118" s="156" t="s">
        <v>56</v>
      </c>
      <c r="B118" s="156" t="s">
        <v>428</v>
      </c>
      <c r="C118" s="156">
        <v>44</v>
      </c>
      <c r="D118" s="157"/>
      <c r="E118" s="157"/>
      <c r="F118" s="157">
        <v>0</v>
      </c>
      <c r="G118" s="157">
        <v>0</v>
      </c>
      <c r="H118" s="157">
        <v>0</v>
      </c>
      <c r="I118" s="157">
        <v>0</v>
      </c>
      <c r="J118" s="157">
        <v>0</v>
      </c>
      <c r="K118" s="157">
        <v>0</v>
      </c>
      <c r="L118" s="157">
        <v>0</v>
      </c>
      <c r="M118" s="157">
        <v>0</v>
      </c>
      <c r="N118" s="157">
        <v>0</v>
      </c>
      <c r="O118" s="157">
        <v>0</v>
      </c>
      <c r="P118" s="157">
        <v>0</v>
      </c>
      <c r="Q118" s="157">
        <v>0</v>
      </c>
      <c r="R118" s="157">
        <v>0</v>
      </c>
      <c r="S118" s="157">
        <v>0</v>
      </c>
      <c r="T118" s="157">
        <v>0</v>
      </c>
      <c r="U118" s="157">
        <v>0</v>
      </c>
      <c r="V118" s="314"/>
      <c r="W118" s="333">
        <v>5</v>
      </c>
      <c r="X118" s="334" t="s">
        <v>428</v>
      </c>
      <c r="Y118" s="335">
        <v>44</v>
      </c>
      <c r="Z118" s="336">
        <v>0</v>
      </c>
      <c r="AA118" s="336">
        <v>0</v>
      </c>
      <c r="AB118" s="336">
        <v>0</v>
      </c>
      <c r="AC118" s="336">
        <v>0</v>
      </c>
      <c r="AD118" s="336">
        <v>0</v>
      </c>
      <c r="AE118" s="336">
        <v>0</v>
      </c>
      <c r="AF118"/>
      <c r="AG118"/>
    </row>
    <row r="119" spans="1:33" ht="12" x14ac:dyDescent="0.2">
      <c r="A119" s="156" t="s">
        <v>279</v>
      </c>
      <c r="B119" s="156" t="s">
        <v>429</v>
      </c>
      <c r="C119" s="156">
        <v>45</v>
      </c>
      <c r="D119" s="157"/>
      <c r="E119" s="157"/>
      <c r="F119" s="157">
        <v>0</v>
      </c>
      <c r="G119" s="157">
        <v>0</v>
      </c>
      <c r="H119" s="157">
        <v>0</v>
      </c>
      <c r="I119" s="157">
        <v>0</v>
      </c>
      <c r="J119" s="157">
        <v>0</v>
      </c>
      <c r="K119" s="157">
        <v>0</v>
      </c>
      <c r="L119" s="157">
        <v>0</v>
      </c>
      <c r="M119" s="157">
        <v>0</v>
      </c>
      <c r="N119" s="157">
        <v>0</v>
      </c>
      <c r="O119" s="157">
        <v>0</v>
      </c>
      <c r="P119" s="157">
        <v>0</v>
      </c>
      <c r="Q119" s="157">
        <v>0</v>
      </c>
      <c r="R119" s="157">
        <v>0</v>
      </c>
      <c r="S119" s="157">
        <v>0</v>
      </c>
      <c r="T119" s="157">
        <v>0</v>
      </c>
      <c r="U119" s="157">
        <v>0</v>
      </c>
      <c r="V119" s="314"/>
      <c r="W119" s="329">
        <v>6</v>
      </c>
      <c r="X119" s="330" t="s">
        <v>429</v>
      </c>
      <c r="Y119" s="331">
        <v>45</v>
      </c>
      <c r="Z119" s="332">
        <v>0</v>
      </c>
      <c r="AA119" s="332">
        <v>0</v>
      </c>
      <c r="AB119" s="332">
        <v>0</v>
      </c>
      <c r="AC119" s="332">
        <v>0</v>
      </c>
      <c r="AD119" s="332">
        <v>0</v>
      </c>
      <c r="AE119" s="332">
        <v>0</v>
      </c>
      <c r="AF119"/>
      <c r="AG119"/>
    </row>
    <row r="120" spans="1:33" ht="12" x14ac:dyDescent="0.2">
      <c r="A120" s="156" t="s">
        <v>58</v>
      </c>
      <c r="B120" s="156" t="s">
        <v>76</v>
      </c>
      <c r="C120" s="156">
        <v>46</v>
      </c>
      <c r="D120" s="157"/>
      <c r="E120" s="157"/>
      <c r="F120" s="157">
        <v>0</v>
      </c>
      <c r="G120" s="157">
        <v>0</v>
      </c>
      <c r="H120" s="157">
        <v>0</v>
      </c>
      <c r="I120" s="157">
        <v>0</v>
      </c>
      <c r="J120" s="157">
        <v>0</v>
      </c>
      <c r="K120" s="157">
        <v>0</v>
      </c>
      <c r="L120" s="157">
        <v>0</v>
      </c>
      <c r="M120" s="157">
        <v>0</v>
      </c>
      <c r="N120" s="157">
        <v>0</v>
      </c>
      <c r="O120" s="157">
        <v>0</v>
      </c>
      <c r="P120" s="157">
        <v>0</v>
      </c>
      <c r="Q120" s="157">
        <v>0</v>
      </c>
      <c r="R120" s="157">
        <v>0</v>
      </c>
      <c r="S120" s="157">
        <v>0</v>
      </c>
      <c r="T120" s="157">
        <v>0</v>
      </c>
      <c r="U120" s="157">
        <v>0</v>
      </c>
      <c r="V120" s="314"/>
      <c r="W120" s="333">
        <v>7</v>
      </c>
      <c r="X120" s="334" t="s">
        <v>76</v>
      </c>
      <c r="Y120" s="335">
        <v>46</v>
      </c>
      <c r="Z120" s="336">
        <v>0</v>
      </c>
      <c r="AA120" s="336">
        <v>0</v>
      </c>
      <c r="AB120" s="336">
        <v>0</v>
      </c>
      <c r="AC120" s="336">
        <v>0</v>
      </c>
      <c r="AD120" s="336">
        <v>0</v>
      </c>
      <c r="AE120" s="336">
        <v>0</v>
      </c>
      <c r="AF120"/>
      <c r="AG120"/>
    </row>
    <row r="121" spans="1:33" ht="12" x14ac:dyDescent="0.2">
      <c r="A121" s="156" t="s">
        <v>398</v>
      </c>
      <c r="B121" s="156" t="s">
        <v>430</v>
      </c>
      <c r="C121" s="156">
        <v>47</v>
      </c>
      <c r="D121" s="157"/>
      <c r="E121" s="157"/>
      <c r="F121" s="157">
        <v>0</v>
      </c>
      <c r="G121" s="157">
        <v>0</v>
      </c>
      <c r="H121" s="157">
        <v>0</v>
      </c>
      <c r="I121" s="157">
        <v>0</v>
      </c>
      <c r="J121" s="157">
        <v>0</v>
      </c>
      <c r="K121" s="157">
        <v>0</v>
      </c>
      <c r="L121" s="157">
        <v>0</v>
      </c>
      <c r="M121" s="157">
        <v>0</v>
      </c>
      <c r="N121" s="157">
        <v>0</v>
      </c>
      <c r="O121" s="157">
        <v>0</v>
      </c>
      <c r="P121" s="157">
        <v>0</v>
      </c>
      <c r="Q121" s="157">
        <v>0</v>
      </c>
      <c r="R121" s="157">
        <v>0</v>
      </c>
      <c r="S121" s="157">
        <v>0</v>
      </c>
      <c r="T121" s="157">
        <v>0</v>
      </c>
      <c r="U121" s="157">
        <v>0</v>
      </c>
      <c r="V121" s="314"/>
      <c r="W121" s="329">
        <v>8</v>
      </c>
      <c r="X121" s="330" t="s">
        <v>430</v>
      </c>
      <c r="Y121" s="331">
        <v>47</v>
      </c>
      <c r="Z121" s="332">
        <v>0</v>
      </c>
      <c r="AA121" s="332">
        <v>0</v>
      </c>
      <c r="AB121" s="332">
        <v>0</v>
      </c>
      <c r="AC121" s="332">
        <v>0</v>
      </c>
      <c r="AD121" s="332">
        <v>0</v>
      </c>
      <c r="AE121" s="332">
        <v>0</v>
      </c>
      <c r="AF121"/>
      <c r="AG121"/>
    </row>
    <row r="122" spans="1:33" ht="12" x14ac:dyDescent="0.2">
      <c r="A122" s="156" t="s">
        <v>431</v>
      </c>
      <c r="B122" s="156" t="s">
        <v>74</v>
      </c>
      <c r="C122" s="156">
        <v>48</v>
      </c>
      <c r="D122" s="157">
        <v>25673000</v>
      </c>
      <c r="E122" s="157">
        <v>41712000</v>
      </c>
      <c r="F122" s="157">
        <v>52925551.119999997</v>
      </c>
      <c r="G122" s="157">
        <v>53069635.75</v>
      </c>
      <c r="H122" s="157">
        <v>58134487.619999997</v>
      </c>
      <c r="I122" s="157">
        <v>52863096.609999999</v>
      </c>
      <c r="J122" s="157">
        <v>72100200.709999993</v>
      </c>
      <c r="K122" s="157">
        <v>61982356.130000003</v>
      </c>
      <c r="L122" s="157">
        <v>77275591.959999993</v>
      </c>
      <c r="M122" s="157">
        <v>65473125.039999999</v>
      </c>
      <c r="N122" s="157">
        <v>80024036.560000002</v>
      </c>
      <c r="O122" s="157">
        <v>92146562.769999996</v>
      </c>
      <c r="P122" s="157">
        <v>59598759.140000001</v>
      </c>
      <c r="Q122" s="157">
        <v>62148340.619999997</v>
      </c>
      <c r="R122" s="157">
        <v>58477154.420000002</v>
      </c>
      <c r="S122" s="157">
        <v>76014622.980000004</v>
      </c>
      <c r="T122" s="157">
        <v>64077716.619999997</v>
      </c>
      <c r="U122" s="157">
        <v>51803684.670000002</v>
      </c>
      <c r="V122" s="314"/>
      <c r="W122" s="333" t="s">
        <v>431</v>
      </c>
      <c r="X122" s="334" t="s">
        <v>74</v>
      </c>
      <c r="Y122" s="335">
        <v>48</v>
      </c>
      <c r="Z122" s="336">
        <v>51934228.149999999</v>
      </c>
      <c r="AA122" s="336">
        <v>-130543.48</v>
      </c>
      <c r="AB122" s="336">
        <v>51803684.670000002</v>
      </c>
      <c r="AC122" s="336">
        <v>64208260.100000001</v>
      </c>
      <c r="AD122" s="336">
        <v>-130543.48</v>
      </c>
      <c r="AE122" s="336">
        <v>64077716.619999997</v>
      </c>
      <c r="AF122"/>
      <c r="AG122"/>
    </row>
    <row r="123" spans="1:33" ht="12" x14ac:dyDescent="0.2">
      <c r="A123" s="156" t="s">
        <v>432</v>
      </c>
      <c r="B123" s="156" t="s">
        <v>424</v>
      </c>
      <c r="C123" s="156">
        <v>49</v>
      </c>
      <c r="D123" s="157">
        <v>23798000</v>
      </c>
      <c r="E123" s="157">
        <v>41069000</v>
      </c>
      <c r="F123" s="157">
        <v>52562923.020000003</v>
      </c>
      <c r="G123" s="157">
        <v>50897094.759999998</v>
      </c>
      <c r="H123" s="157">
        <v>58355112.229999997</v>
      </c>
      <c r="I123" s="157">
        <v>51240938.619999997</v>
      </c>
      <c r="J123" s="157">
        <v>72144220.200000003</v>
      </c>
      <c r="K123" s="157">
        <v>62167992.960000001</v>
      </c>
      <c r="L123" s="157">
        <v>77099505.680000007</v>
      </c>
      <c r="M123" s="157">
        <v>60008854.439999998</v>
      </c>
      <c r="N123" s="157">
        <v>74111109.829999998</v>
      </c>
      <c r="O123" s="157">
        <v>88574769.390000001</v>
      </c>
      <c r="P123" s="157">
        <v>55648638.289999999</v>
      </c>
      <c r="Q123" s="157">
        <v>53930651.299999997</v>
      </c>
      <c r="R123" s="157">
        <v>52030108.149999999</v>
      </c>
      <c r="S123" s="157">
        <v>70077259.989999995</v>
      </c>
      <c r="T123" s="157">
        <v>59033370.939999998</v>
      </c>
      <c r="U123" s="157">
        <v>49542446.469999999</v>
      </c>
      <c r="V123" s="314"/>
      <c r="W123" s="329" t="s">
        <v>432</v>
      </c>
      <c r="X123" s="330" t="s">
        <v>424</v>
      </c>
      <c r="Y123" s="331">
        <v>49</v>
      </c>
      <c r="Z123" s="332">
        <v>49672989.950000003</v>
      </c>
      <c r="AA123" s="332">
        <v>-130543.48</v>
      </c>
      <c r="AB123" s="332">
        <v>49542446.469999999</v>
      </c>
      <c r="AC123" s="332">
        <v>59163914.420000002</v>
      </c>
      <c r="AD123" s="332">
        <v>-130543.48</v>
      </c>
      <c r="AE123" s="332">
        <v>59033370.939999998</v>
      </c>
      <c r="AF123"/>
      <c r="AG123"/>
    </row>
    <row r="124" spans="1:33" ht="12" x14ac:dyDescent="0.2">
      <c r="A124" s="156" t="s">
        <v>51</v>
      </c>
      <c r="B124" s="156" t="s">
        <v>433</v>
      </c>
      <c r="C124" s="156">
        <v>50</v>
      </c>
      <c r="D124" s="157"/>
      <c r="E124" s="157"/>
      <c r="F124" s="157">
        <v>0</v>
      </c>
      <c r="G124" s="157">
        <v>0</v>
      </c>
      <c r="H124" s="157">
        <v>0</v>
      </c>
      <c r="I124" s="157">
        <v>0</v>
      </c>
      <c r="J124" s="157">
        <v>0</v>
      </c>
      <c r="K124" s="157">
        <v>0</v>
      </c>
      <c r="L124" s="157">
        <v>0</v>
      </c>
      <c r="M124" s="157">
        <v>289114</v>
      </c>
      <c r="N124" s="157">
        <v>0</v>
      </c>
      <c r="O124" s="157">
        <v>0</v>
      </c>
      <c r="P124" s="157">
        <v>0</v>
      </c>
      <c r="Q124" s="157">
        <v>0</v>
      </c>
      <c r="R124" s="157">
        <v>0</v>
      </c>
      <c r="S124" s="157">
        <v>0</v>
      </c>
      <c r="T124" s="157">
        <v>0</v>
      </c>
      <c r="U124" s="157">
        <v>0</v>
      </c>
      <c r="V124" s="314"/>
      <c r="W124" s="333">
        <v>2</v>
      </c>
      <c r="X124" s="334" t="s">
        <v>433</v>
      </c>
      <c r="Y124" s="335">
        <v>50</v>
      </c>
      <c r="Z124" s="336">
        <v>0</v>
      </c>
      <c r="AA124" s="336">
        <v>0</v>
      </c>
      <c r="AB124" s="336">
        <v>0</v>
      </c>
      <c r="AC124" s="336">
        <v>0</v>
      </c>
      <c r="AD124" s="336">
        <v>0</v>
      </c>
      <c r="AE124" s="336">
        <v>0</v>
      </c>
      <c r="AF124"/>
      <c r="AG124"/>
    </row>
    <row r="125" spans="1:33" ht="12" x14ac:dyDescent="0.2">
      <c r="A125" s="156" t="s">
        <v>52</v>
      </c>
      <c r="B125" s="156" t="s">
        <v>434</v>
      </c>
      <c r="C125" s="156">
        <v>51</v>
      </c>
      <c r="D125" s="157"/>
      <c r="E125" s="157"/>
      <c r="F125" s="157">
        <v>0</v>
      </c>
      <c r="G125" s="157">
        <v>0</v>
      </c>
      <c r="H125" s="157">
        <v>0</v>
      </c>
      <c r="I125" s="157">
        <v>0</v>
      </c>
      <c r="J125" s="157">
        <v>0</v>
      </c>
      <c r="K125" s="157">
        <v>0</v>
      </c>
      <c r="L125" s="157">
        <v>0</v>
      </c>
      <c r="M125" s="157">
        <v>0</v>
      </c>
      <c r="N125" s="157">
        <v>0</v>
      </c>
      <c r="O125" s="157">
        <v>0</v>
      </c>
      <c r="P125" s="157">
        <v>0</v>
      </c>
      <c r="Q125" s="157">
        <v>0</v>
      </c>
      <c r="R125" s="157">
        <v>0</v>
      </c>
      <c r="S125" s="157">
        <v>0</v>
      </c>
      <c r="T125" s="157">
        <v>0</v>
      </c>
      <c r="U125" s="157">
        <v>0</v>
      </c>
      <c r="V125" s="314"/>
      <c r="W125" s="329">
        <v>3</v>
      </c>
      <c r="X125" s="330" t="s">
        <v>434</v>
      </c>
      <c r="Y125" s="331">
        <v>51</v>
      </c>
      <c r="Z125" s="332">
        <v>0</v>
      </c>
      <c r="AA125" s="332">
        <v>0</v>
      </c>
      <c r="AB125" s="332">
        <v>0</v>
      </c>
      <c r="AC125" s="332">
        <v>0</v>
      </c>
      <c r="AD125" s="332">
        <v>0</v>
      </c>
      <c r="AE125" s="332">
        <v>0</v>
      </c>
      <c r="AF125"/>
      <c r="AG125"/>
    </row>
    <row r="126" spans="1:33" ht="12" x14ac:dyDescent="0.2">
      <c r="A126" s="156" t="s">
        <v>54</v>
      </c>
      <c r="B126" s="156" t="s">
        <v>427</v>
      </c>
      <c r="C126" s="156">
        <v>52</v>
      </c>
      <c r="D126" s="157"/>
      <c r="E126" s="157"/>
      <c r="F126" s="157">
        <v>0</v>
      </c>
      <c r="G126" s="157">
        <v>0</v>
      </c>
      <c r="H126" s="157">
        <v>0</v>
      </c>
      <c r="I126" s="157">
        <v>0</v>
      </c>
      <c r="J126" s="157">
        <v>0</v>
      </c>
      <c r="K126" s="157">
        <v>0</v>
      </c>
      <c r="L126" s="157">
        <v>200000</v>
      </c>
      <c r="M126" s="157">
        <v>0</v>
      </c>
      <c r="N126" s="157">
        <v>0</v>
      </c>
      <c r="O126" s="157">
        <v>0</v>
      </c>
      <c r="P126" s="157">
        <v>0</v>
      </c>
      <c r="Q126" s="157">
        <v>0</v>
      </c>
      <c r="R126" s="157">
        <v>0</v>
      </c>
      <c r="S126" s="157">
        <v>0</v>
      </c>
      <c r="T126" s="157">
        <v>0</v>
      </c>
      <c r="U126" s="157">
        <v>0</v>
      </c>
      <c r="V126" s="314"/>
      <c r="W126" s="333">
        <v>4</v>
      </c>
      <c r="X126" s="334" t="s">
        <v>427</v>
      </c>
      <c r="Y126" s="335">
        <v>52</v>
      </c>
      <c r="Z126" s="336">
        <v>0</v>
      </c>
      <c r="AA126" s="336">
        <v>0</v>
      </c>
      <c r="AB126" s="336">
        <v>0</v>
      </c>
      <c r="AC126" s="336">
        <v>0</v>
      </c>
      <c r="AD126" s="336">
        <v>0</v>
      </c>
      <c r="AE126" s="336">
        <v>0</v>
      </c>
      <c r="AF126"/>
      <c r="AG126"/>
    </row>
    <row r="127" spans="1:33" ht="12" x14ac:dyDescent="0.2">
      <c r="A127" s="156" t="s">
        <v>56</v>
      </c>
      <c r="B127" s="156" t="s">
        <v>435</v>
      </c>
      <c r="C127" s="156">
        <v>53</v>
      </c>
      <c r="D127" s="157"/>
      <c r="E127" s="157"/>
      <c r="F127" s="157">
        <v>0</v>
      </c>
      <c r="G127" s="157">
        <v>0</v>
      </c>
      <c r="H127" s="157">
        <v>0</v>
      </c>
      <c r="I127" s="157">
        <v>0</v>
      </c>
      <c r="J127" s="157">
        <v>0</v>
      </c>
      <c r="K127" s="157">
        <v>0</v>
      </c>
      <c r="L127" s="157">
        <v>0</v>
      </c>
      <c r="M127" s="157">
        <v>0</v>
      </c>
      <c r="N127" s="157">
        <v>0</v>
      </c>
      <c r="O127" s="157">
        <v>0</v>
      </c>
      <c r="P127" s="157">
        <v>0</v>
      </c>
      <c r="Q127" s="157">
        <v>0</v>
      </c>
      <c r="R127" s="157">
        <v>0</v>
      </c>
      <c r="S127" s="157">
        <v>0</v>
      </c>
      <c r="T127" s="157">
        <v>0</v>
      </c>
      <c r="U127" s="157">
        <v>0</v>
      </c>
      <c r="V127" s="314"/>
      <c r="W127" s="329">
        <v>5</v>
      </c>
      <c r="X127" s="330" t="s">
        <v>435</v>
      </c>
      <c r="Y127" s="331">
        <v>53</v>
      </c>
      <c r="Z127" s="332">
        <v>0</v>
      </c>
      <c r="AA127" s="332">
        <v>0</v>
      </c>
      <c r="AB127" s="332">
        <v>0</v>
      </c>
      <c r="AC127" s="332">
        <v>0</v>
      </c>
      <c r="AD127" s="332">
        <v>0</v>
      </c>
      <c r="AE127" s="332">
        <v>0</v>
      </c>
      <c r="AF127"/>
      <c r="AG127"/>
    </row>
    <row r="128" spans="1:33" ht="12" x14ac:dyDescent="0.2">
      <c r="A128" s="156" t="s">
        <v>279</v>
      </c>
      <c r="B128" s="156" t="s">
        <v>75</v>
      </c>
      <c r="C128" s="156">
        <v>54</v>
      </c>
      <c r="D128" s="157"/>
      <c r="E128" s="157"/>
      <c r="F128" s="157">
        <v>0</v>
      </c>
      <c r="G128" s="157">
        <v>1848120</v>
      </c>
      <c r="H128" s="157">
        <v>0</v>
      </c>
      <c r="I128" s="157">
        <v>1236478.6200000001</v>
      </c>
      <c r="J128" s="157">
        <v>0</v>
      </c>
      <c r="K128" s="157">
        <v>0</v>
      </c>
      <c r="L128" s="157">
        <v>0</v>
      </c>
      <c r="M128" s="157">
        <v>4314959.03</v>
      </c>
      <c r="N128" s="157">
        <v>3940960.17</v>
      </c>
      <c r="O128" s="157">
        <v>182163.71</v>
      </c>
      <c r="P128" s="157">
        <v>1235187.22</v>
      </c>
      <c r="Q128" s="157">
        <v>5127149.6100000003</v>
      </c>
      <c r="R128" s="157">
        <v>2658732.3199999998</v>
      </c>
      <c r="S128" s="157">
        <v>1745523.85</v>
      </c>
      <c r="T128" s="157">
        <v>528075.78</v>
      </c>
      <c r="U128" s="157">
        <v>416218.38</v>
      </c>
      <c r="V128" s="314"/>
      <c r="W128" s="333">
        <v>6</v>
      </c>
      <c r="X128" s="334" t="s">
        <v>75</v>
      </c>
      <c r="Y128" s="335">
        <v>54</v>
      </c>
      <c r="Z128" s="336">
        <v>416218.38</v>
      </c>
      <c r="AA128" s="336">
        <v>0</v>
      </c>
      <c r="AB128" s="336">
        <v>416218.38</v>
      </c>
      <c r="AC128" s="336">
        <v>528075.78</v>
      </c>
      <c r="AD128" s="336">
        <v>0</v>
      </c>
      <c r="AE128" s="336">
        <v>528075.78</v>
      </c>
      <c r="AF128"/>
      <c r="AG128"/>
    </row>
    <row r="129" spans="1:33" ht="12" x14ac:dyDescent="0.2">
      <c r="A129" s="156" t="s">
        <v>58</v>
      </c>
      <c r="B129" s="156" t="s">
        <v>436</v>
      </c>
      <c r="C129" s="156">
        <v>55</v>
      </c>
      <c r="D129" s="157">
        <v>412000</v>
      </c>
      <c r="E129" s="157">
        <v>10000</v>
      </c>
      <c r="F129" s="157">
        <v>27069.22</v>
      </c>
      <c r="G129" s="157">
        <v>12162.73</v>
      </c>
      <c r="H129" s="157">
        <v>25546.67</v>
      </c>
      <c r="I129" s="157">
        <v>28986.59</v>
      </c>
      <c r="J129" s="157">
        <v>40976.239999999998</v>
      </c>
      <c r="K129" s="157">
        <v>29792.2</v>
      </c>
      <c r="L129" s="157">
        <v>26578.48</v>
      </c>
      <c r="M129" s="157">
        <v>151904.74</v>
      </c>
      <c r="N129" s="157">
        <v>51626.52</v>
      </c>
      <c r="O129" s="157">
        <v>106573.59</v>
      </c>
      <c r="P129" s="157">
        <v>62821.72</v>
      </c>
      <c r="Q129" s="157">
        <v>139881.04999999999</v>
      </c>
      <c r="R129" s="157">
        <v>144424.28</v>
      </c>
      <c r="S129" s="157">
        <v>141364.31</v>
      </c>
      <c r="T129" s="157">
        <v>192310.34</v>
      </c>
      <c r="U129" s="157">
        <v>425564.21</v>
      </c>
      <c r="V129" s="314"/>
      <c r="W129" s="329">
        <v>7</v>
      </c>
      <c r="X129" s="330" t="s">
        <v>436</v>
      </c>
      <c r="Y129" s="331">
        <v>55</v>
      </c>
      <c r="Z129" s="332">
        <v>425564.21</v>
      </c>
      <c r="AA129" s="332">
        <v>0</v>
      </c>
      <c r="AB129" s="332">
        <v>425564.21</v>
      </c>
      <c r="AC129" s="332">
        <v>192310.34</v>
      </c>
      <c r="AD129" s="332">
        <v>0</v>
      </c>
      <c r="AE129" s="332">
        <v>192310.34</v>
      </c>
      <c r="AF129"/>
      <c r="AG129"/>
    </row>
    <row r="130" spans="1:33" ht="12" x14ac:dyDescent="0.2">
      <c r="A130" s="156" t="s">
        <v>398</v>
      </c>
      <c r="B130" s="156" t="s">
        <v>429</v>
      </c>
      <c r="C130" s="156">
        <v>56</v>
      </c>
      <c r="D130" s="157">
        <v>1433000</v>
      </c>
      <c r="E130" s="157">
        <v>572000</v>
      </c>
      <c r="F130" s="157">
        <v>20000</v>
      </c>
      <c r="G130" s="157">
        <v>25000</v>
      </c>
      <c r="H130" s="157">
        <v>50000</v>
      </c>
      <c r="I130" s="157">
        <v>80000</v>
      </c>
      <c r="J130" s="157">
        <v>160000</v>
      </c>
      <c r="K130" s="157">
        <v>85113</v>
      </c>
      <c r="L130" s="157">
        <v>313279</v>
      </c>
      <c r="M130" s="157">
        <v>405124</v>
      </c>
      <c r="N130" s="157">
        <v>1514638.05</v>
      </c>
      <c r="O130" s="157">
        <v>2814571.92</v>
      </c>
      <c r="P130" s="157">
        <v>2002522.79</v>
      </c>
      <c r="Q130" s="157">
        <v>1493500.37</v>
      </c>
      <c r="R130" s="157">
        <v>2729673.14</v>
      </c>
      <c r="S130" s="157">
        <v>3487144.45</v>
      </c>
      <c r="T130" s="157">
        <v>3251824.87</v>
      </c>
      <c r="U130" s="157">
        <v>1003445.35</v>
      </c>
      <c r="V130" s="314"/>
      <c r="W130" s="333">
        <v>8</v>
      </c>
      <c r="X130" s="334" t="s">
        <v>429</v>
      </c>
      <c r="Y130" s="335">
        <v>56</v>
      </c>
      <c r="Z130" s="336">
        <v>1003445.35</v>
      </c>
      <c r="AA130" s="336">
        <v>0</v>
      </c>
      <c r="AB130" s="336">
        <v>1003445.35</v>
      </c>
      <c r="AC130" s="336">
        <v>3251824.87</v>
      </c>
      <c r="AD130" s="336">
        <v>0</v>
      </c>
      <c r="AE130" s="336">
        <v>3251824.87</v>
      </c>
      <c r="AF130"/>
      <c r="AG130"/>
    </row>
    <row r="131" spans="1:33" ht="12" x14ac:dyDescent="0.2">
      <c r="A131" s="156" t="s">
        <v>404</v>
      </c>
      <c r="B131" s="156" t="s">
        <v>76</v>
      </c>
      <c r="C131" s="156">
        <v>57</v>
      </c>
      <c r="D131" s="157">
        <v>30000</v>
      </c>
      <c r="E131" s="157">
        <v>61000</v>
      </c>
      <c r="F131" s="157">
        <v>315558.88</v>
      </c>
      <c r="G131" s="157">
        <v>287258.26</v>
      </c>
      <c r="H131" s="157">
        <v>-296171.28000000003</v>
      </c>
      <c r="I131" s="157">
        <v>276692.78000000003</v>
      </c>
      <c r="J131" s="157">
        <v>-244995.73</v>
      </c>
      <c r="K131" s="157">
        <v>-300542.03000000003</v>
      </c>
      <c r="L131" s="157">
        <v>-363771.2</v>
      </c>
      <c r="M131" s="157">
        <v>303168.83</v>
      </c>
      <c r="N131" s="157">
        <v>405701.99</v>
      </c>
      <c r="O131" s="157">
        <v>468484.16</v>
      </c>
      <c r="P131" s="157">
        <v>649589.12</v>
      </c>
      <c r="Q131" s="157">
        <v>1457158.29</v>
      </c>
      <c r="R131" s="157">
        <v>914216.53</v>
      </c>
      <c r="S131" s="157">
        <v>563330.38</v>
      </c>
      <c r="T131" s="157">
        <v>1072134.69</v>
      </c>
      <c r="U131" s="157">
        <v>416010.26</v>
      </c>
      <c r="V131" s="314"/>
      <c r="W131" s="329">
        <v>9</v>
      </c>
      <c r="X131" s="330" t="s">
        <v>76</v>
      </c>
      <c r="Y131" s="331">
        <v>57</v>
      </c>
      <c r="Z131" s="332">
        <v>416010.26</v>
      </c>
      <c r="AA131" s="332">
        <v>0</v>
      </c>
      <c r="AB131" s="332">
        <v>416010.26</v>
      </c>
      <c r="AC131" s="332">
        <v>1072134.69</v>
      </c>
      <c r="AD131" s="332">
        <v>0</v>
      </c>
      <c r="AE131" s="332">
        <v>1072134.69</v>
      </c>
      <c r="AF131"/>
      <c r="AG131"/>
    </row>
    <row r="132" spans="1:33" ht="12" x14ac:dyDescent="0.2">
      <c r="A132" s="156" t="s">
        <v>437</v>
      </c>
      <c r="B132" s="156" t="s">
        <v>80</v>
      </c>
      <c r="C132" s="156">
        <v>58</v>
      </c>
      <c r="D132" s="157">
        <v>2117000</v>
      </c>
      <c r="E132" s="157">
        <v>4557000</v>
      </c>
      <c r="F132" s="157">
        <v>3922431.53</v>
      </c>
      <c r="G132" s="157">
        <v>4341794.75</v>
      </c>
      <c r="H132" s="157">
        <v>5684208</v>
      </c>
      <c r="I132" s="157">
        <v>16922777.23</v>
      </c>
      <c r="J132" s="157">
        <v>10129837.26</v>
      </c>
      <c r="K132" s="157">
        <v>13214852.810000001</v>
      </c>
      <c r="L132" s="157">
        <v>13850607.02</v>
      </c>
      <c r="M132" s="157">
        <v>15621459.43</v>
      </c>
      <c r="N132" s="157">
        <v>25056753.66</v>
      </c>
      <c r="O132" s="157">
        <v>25868144.460000001</v>
      </c>
      <c r="P132" s="157">
        <v>35209547.469999999</v>
      </c>
      <c r="Q132" s="157">
        <v>28108714.57</v>
      </c>
      <c r="R132" s="157">
        <v>29382749.109999999</v>
      </c>
      <c r="S132" s="157">
        <v>26187521.699999999</v>
      </c>
      <c r="T132" s="157">
        <v>33703514.560000002</v>
      </c>
      <c r="U132" s="157">
        <v>21149971.260000002</v>
      </c>
      <c r="V132" s="314"/>
      <c r="W132" s="333" t="s">
        <v>437</v>
      </c>
      <c r="X132" s="334" t="s">
        <v>80</v>
      </c>
      <c r="Y132" s="335">
        <v>58</v>
      </c>
      <c r="Z132" s="336">
        <v>21149971.260000002</v>
      </c>
      <c r="AA132" s="336">
        <v>0</v>
      </c>
      <c r="AB132" s="336">
        <v>21149971.260000002</v>
      </c>
      <c r="AC132" s="336">
        <v>33703514.560000002</v>
      </c>
      <c r="AD132" s="336">
        <v>0</v>
      </c>
      <c r="AE132" s="336">
        <v>33703514.560000002</v>
      </c>
      <c r="AF132"/>
      <c r="AG132"/>
    </row>
    <row r="133" spans="1:33" ht="12" x14ac:dyDescent="0.2">
      <c r="A133" s="156" t="s">
        <v>438</v>
      </c>
      <c r="B133" s="156" t="s">
        <v>78</v>
      </c>
      <c r="C133" s="156">
        <v>59</v>
      </c>
      <c r="D133" s="157">
        <v>267000</v>
      </c>
      <c r="E133" s="157">
        <v>129000</v>
      </c>
      <c r="F133" s="157">
        <v>410088.31</v>
      </c>
      <c r="G133" s="157">
        <v>379992.18</v>
      </c>
      <c r="H133" s="157">
        <v>711984.21</v>
      </c>
      <c r="I133" s="157">
        <v>269830.7</v>
      </c>
      <c r="J133" s="157">
        <v>681791.6</v>
      </c>
      <c r="K133" s="157">
        <v>1630855.4</v>
      </c>
      <c r="L133" s="157">
        <v>7650221</v>
      </c>
      <c r="M133" s="157">
        <v>12527217.939999999</v>
      </c>
      <c r="N133" s="157">
        <v>21879970.129999999</v>
      </c>
      <c r="O133" s="157">
        <v>19236073.989999998</v>
      </c>
      <c r="P133" s="157">
        <v>18716182.140000001</v>
      </c>
      <c r="Q133" s="157">
        <v>13332970.33</v>
      </c>
      <c r="R133" s="157">
        <v>16272034.140000001</v>
      </c>
      <c r="S133" s="157">
        <v>22645381.640000001</v>
      </c>
      <c r="T133" s="157">
        <v>15738847.800000001</v>
      </c>
      <c r="U133" s="157">
        <v>6531928.0499999998</v>
      </c>
      <c r="V133" s="314"/>
      <c r="W133" s="329" t="s">
        <v>438</v>
      </c>
      <c r="X133" s="330" t="s">
        <v>78</v>
      </c>
      <c r="Y133" s="331">
        <v>59</v>
      </c>
      <c r="Z133" s="332">
        <v>6531928.0499999998</v>
      </c>
      <c r="AA133" s="332">
        <v>0</v>
      </c>
      <c r="AB133" s="332">
        <v>6531928.0499999998</v>
      </c>
      <c r="AC133" s="332">
        <v>15738847.800000001</v>
      </c>
      <c r="AD133" s="332">
        <v>0</v>
      </c>
      <c r="AE133" s="332">
        <v>15738847.800000001</v>
      </c>
      <c r="AF133"/>
      <c r="AG133"/>
    </row>
    <row r="134" spans="1:33" ht="12" x14ac:dyDescent="0.2">
      <c r="A134" s="156" t="s">
        <v>51</v>
      </c>
      <c r="B134" s="156" t="s">
        <v>79</v>
      </c>
      <c r="C134" s="156">
        <v>60</v>
      </c>
      <c r="D134" s="157">
        <v>1850000</v>
      </c>
      <c r="E134" s="157">
        <v>4428000</v>
      </c>
      <c r="F134" s="157">
        <v>3512343.22</v>
      </c>
      <c r="G134" s="157">
        <v>3961802.57</v>
      </c>
      <c r="H134" s="157">
        <v>4972223.79</v>
      </c>
      <c r="I134" s="157">
        <v>16652946.529999999</v>
      </c>
      <c r="J134" s="157">
        <v>9448045.6600000001</v>
      </c>
      <c r="K134" s="157">
        <v>11583997.41</v>
      </c>
      <c r="L134" s="157">
        <v>6200386.0199999996</v>
      </c>
      <c r="M134" s="157">
        <v>3094241.49</v>
      </c>
      <c r="N134" s="157">
        <v>3176783.53</v>
      </c>
      <c r="O134" s="157">
        <v>6632070.4699999997</v>
      </c>
      <c r="P134" s="157">
        <v>16493365.33</v>
      </c>
      <c r="Q134" s="157">
        <v>14775744.24</v>
      </c>
      <c r="R134" s="157">
        <v>13110714.970000001</v>
      </c>
      <c r="S134" s="157">
        <v>3542140.06</v>
      </c>
      <c r="T134" s="157">
        <v>17964666.760000002</v>
      </c>
      <c r="U134" s="157">
        <v>14618043.210000001</v>
      </c>
      <c r="V134" s="314"/>
      <c r="W134" s="333">
        <v>2</v>
      </c>
      <c r="X134" s="334" t="s">
        <v>79</v>
      </c>
      <c r="Y134" s="335">
        <v>60</v>
      </c>
      <c r="Z134" s="336">
        <v>14618043.210000001</v>
      </c>
      <c r="AA134" s="336">
        <v>0</v>
      </c>
      <c r="AB134" s="336">
        <v>14618043.210000001</v>
      </c>
      <c r="AC134" s="336">
        <v>17964666.760000002</v>
      </c>
      <c r="AD134" s="336">
        <v>0</v>
      </c>
      <c r="AE134" s="336">
        <v>17964666.760000002</v>
      </c>
      <c r="AF134"/>
      <c r="AG134"/>
    </row>
    <row r="135" spans="1:33" ht="12" x14ac:dyDescent="0.2">
      <c r="A135" s="156" t="s">
        <v>52</v>
      </c>
      <c r="B135" s="156" t="s">
        <v>439</v>
      </c>
      <c r="C135" s="156">
        <v>61</v>
      </c>
      <c r="D135" s="157"/>
      <c r="E135" s="157"/>
      <c r="F135" s="157">
        <v>0</v>
      </c>
      <c r="G135" s="157">
        <v>0</v>
      </c>
      <c r="H135" s="157">
        <v>0</v>
      </c>
      <c r="I135" s="157">
        <v>0</v>
      </c>
      <c r="J135" s="157">
        <v>0</v>
      </c>
      <c r="K135" s="157">
        <v>0</v>
      </c>
      <c r="L135" s="157">
        <v>0</v>
      </c>
      <c r="M135" s="157">
        <v>0</v>
      </c>
      <c r="N135" s="157">
        <v>0</v>
      </c>
      <c r="O135" s="157">
        <v>0</v>
      </c>
      <c r="P135" s="157">
        <v>0</v>
      </c>
      <c r="Q135" s="157">
        <v>0</v>
      </c>
      <c r="R135" s="157">
        <v>0</v>
      </c>
      <c r="S135" s="157">
        <v>0</v>
      </c>
      <c r="T135" s="157">
        <v>0</v>
      </c>
      <c r="U135" s="157">
        <v>0</v>
      </c>
      <c r="V135" s="314"/>
      <c r="W135" s="329">
        <v>3</v>
      </c>
      <c r="X135" s="330" t="s">
        <v>439</v>
      </c>
      <c r="Y135" s="331">
        <v>61</v>
      </c>
      <c r="Z135" s="332">
        <v>0</v>
      </c>
      <c r="AA135" s="332">
        <v>0</v>
      </c>
      <c r="AB135" s="332">
        <v>0</v>
      </c>
      <c r="AC135" s="332">
        <v>0</v>
      </c>
      <c r="AD135" s="332">
        <v>0</v>
      </c>
      <c r="AE135" s="332">
        <v>0</v>
      </c>
      <c r="AF135"/>
      <c r="AG135"/>
    </row>
    <row r="136" spans="1:33" ht="12" x14ac:dyDescent="0.2">
      <c r="A136" s="156" t="s">
        <v>54</v>
      </c>
      <c r="B136" s="156" t="s">
        <v>440</v>
      </c>
      <c r="C136" s="156">
        <v>62</v>
      </c>
      <c r="D136" s="157"/>
      <c r="E136" s="157"/>
      <c r="F136" s="157">
        <v>0</v>
      </c>
      <c r="G136" s="157">
        <v>0</v>
      </c>
      <c r="H136" s="157">
        <v>0</v>
      </c>
      <c r="I136" s="157">
        <v>0</v>
      </c>
      <c r="J136" s="157">
        <v>0</v>
      </c>
      <c r="K136" s="157">
        <v>0</v>
      </c>
      <c r="L136" s="157">
        <v>0</v>
      </c>
      <c r="M136" s="157">
        <v>0</v>
      </c>
      <c r="N136" s="157">
        <v>0</v>
      </c>
      <c r="O136" s="157">
        <v>0</v>
      </c>
      <c r="P136" s="157">
        <v>0</v>
      </c>
      <c r="Q136" s="157">
        <v>0</v>
      </c>
      <c r="R136" s="157">
        <v>0</v>
      </c>
      <c r="S136" s="157">
        <v>0</v>
      </c>
      <c r="T136" s="157">
        <v>0</v>
      </c>
      <c r="U136" s="157">
        <v>0</v>
      </c>
      <c r="V136" s="314"/>
      <c r="W136" s="333">
        <v>4</v>
      </c>
      <c r="X136" s="334" t="s">
        <v>440</v>
      </c>
      <c r="Y136" s="335">
        <v>62</v>
      </c>
      <c r="Z136" s="336">
        <v>0</v>
      </c>
      <c r="AA136" s="336">
        <v>0</v>
      </c>
      <c r="AB136" s="336">
        <v>0</v>
      </c>
      <c r="AC136" s="336">
        <v>0</v>
      </c>
      <c r="AD136" s="336">
        <v>0</v>
      </c>
      <c r="AE136" s="336">
        <v>0</v>
      </c>
      <c r="AF136"/>
      <c r="AG136"/>
    </row>
    <row r="137" spans="1:33" ht="12" x14ac:dyDescent="0.2">
      <c r="A137" s="156" t="s">
        <v>441</v>
      </c>
      <c r="B137" s="156" t="s">
        <v>442</v>
      </c>
      <c r="C137" s="156">
        <v>63</v>
      </c>
      <c r="D137" s="157">
        <v>5139000</v>
      </c>
      <c r="E137" s="157">
        <v>9249000</v>
      </c>
      <c r="F137" s="157">
        <v>8652151.1099999994</v>
      </c>
      <c r="G137" s="157">
        <v>11642335.08</v>
      </c>
      <c r="H137" s="157">
        <v>6910324.7000000002</v>
      </c>
      <c r="I137" s="157">
        <v>3045306.43</v>
      </c>
      <c r="J137" s="157">
        <v>1837222.55</v>
      </c>
      <c r="K137" s="157">
        <v>799648.05</v>
      </c>
      <c r="L137" s="157">
        <v>877206.23</v>
      </c>
      <c r="M137" s="157">
        <v>962197.15</v>
      </c>
      <c r="N137" s="157">
        <v>2871523.89</v>
      </c>
      <c r="O137" s="157">
        <v>1984279.54</v>
      </c>
      <c r="P137" s="157">
        <v>1669688.92</v>
      </c>
      <c r="Q137" s="157">
        <v>1859921.87</v>
      </c>
      <c r="R137" s="157">
        <v>1854917.27</v>
      </c>
      <c r="S137" s="157">
        <v>2213818.35</v>
      </c>
      <c r="T137" s="157">
        <v>5062804.42</v>
      </c>
      <c r="U137" s="157">
        <v>1165504.8899999999</v>
      </c>
      <c r="V137" s="314"/>
      <c r="W137" s="329" t="s">
        <v>441</v>
      </c>
      <c r="X137" s="330" t="s">
        <v>442</v>
      </c>
      <c r="Y137" s="331">
        <v>63</v>
      </c>
      <c r="Z137" s="332">
        <v>1165504.8899999999</v>
      </c>
      <c r="AA137" s="332">
        <v>0</v>
      </c>
      <c r="AB137" s="332">
        <v>1165504.8899999999</v>
      </c>
      <c r="AC137" s="332">
        <v>5062804.42</v>
      </c>
      <c r="AD137" s="332">
        <v>0</v>
      </c>
      <c r="AE137" s="332">
        <v>5062804.42</v>
      </c>
      <c r="AF137"/>
      <c r="AG137"/>
    </row>
    <row r="138" spans="1:33" ht="12" x14ac:dyDescent="0.2">
      <c r="A138" s="156" t="s">
        <v>443</v>
      </c>
      <c r="B138" s="156" t="s">
        <v>444</v>
      </c>
      <c r="C138" s="156">
        <v>64</v>
      </c>
      <c r="D138" s="157">
        <v>5139000</v>
      </c>
      <c r="E138" s="157">
        <v>9249000</v>
      </c>
      <c r="F138" s="157">
        <v>8652151.1099999994</v>
      </c>
      <c r="G138" s="157">
        <v>11662909.34</v>
      </c>
      <c r="H138" s="157">
        <v>6910324.7000000002</v>
      </c>
      <c r="I138" s="157">
        <v>2976337.86</v>
      </c>
      <c r="J138" s="157">
        <v>1837222.55</v>
      </c>
      <c r="K138" s="157">
        <v>799648.05</v>
      </c>
      <c r="L138" s="157">
        <v>877206.23</v>
      </c>
      <c r="M138" s="157">
        <v>910180.15</v>
      </c>
      <c r="N138" s="157">
        <v>1026851.16</v>
      </c>
      <c r="O138" s="157">
        <v>400210.11</v>
      </c>
      <c r="P138" s="157">
        <v>397901.16</v>
      </c>
      <c r="Q138" s="157">
        <v>630764.24</v>
      </c>
      <c r="R138" s="157">
        <v>548491.56000000006</v>
      </c>
      <c r="S138" s="157">
        <v>518557.4</v>
      </c>
      <c r="T138" s="157">
        <v>835517.46</v>
      </c>
      <c r="U138" s="157">
        <v>424451.63</v>
      </c>
      <c r="V138" s="314"/>
      <c r="W138" s="333" t="s">
        <v>443</v>
      </c>
      <c r="X138" s="334" t="s">
        <v>444</v>
      </c>
      <c r="Y138" s="335">
        <v>64</v>
      </c>
      <c r="Z138" s="336">
        <v>424451.63</v>
      </c>
      <c r="AA138" s="336">
        <v>0</v>
      </c>
      <c r="AB138" s="336">
        <v>424451.63</v>
      </c>
      <c r="AC138" s="336">
        <v>835517.46</v>
      </c>
      <c r="AD138" s="336">
        <v>0</v>
      </c>
      <c r="AE138" s="336">
        <v>835517.46</v>
      </c>
      <c r="AF138"/>
      <c r="AG138"/>
    </row>
    <row r="139" spans="1:33" ht="12" x14ac:dyDescent="0.2">
      <c r="A139" s="156" t="s">
        <v>51</v>
      </c>
      <c r="B139" s="156" t="s">
        <v>445</v>
      </c>
      <c r="C139" s="156">
        <v>65</v>
      </c>
      <c r="D139" s="157"/>
      <c r="E139" s="157"/>
      <c r="F139" s="157">
        <v>0</v>
      </c>
      <c r="G139" s="157">
        <v>0</v>
      </c>
      <c r="H139" s="157">
        <v>0</v>
      </c>
      <c r="I139" s="157">
        <v>0</v>
      </c>
      <c r="J139" s="157">
        <v>0</v>
      </c>
      <c r="K139" s="157">
        <v>0</v>
      </c>
      <c r="L139" s="157">
        <v>0</v>
      </c>
      <c r="M139" s="157">
        <v>0</v>
      </c>
      <c r="N139" s="157">
        <v>0</v>
      </c>
      <c r="O139" s="157">
        <v>0</v>
      </c>
      <c r="P139" s="157">
        <v>0</v>
      </c>
      <c r="Q139" s="157">
        <v>0</v>
      </c>
      <c r="R139" s="157">
        <v>0</v>
      </c>
      <c r="S139" s="157">
        <v>0</v>
      </c>
      <c r="T139" s="157">
        <v>0</v>
      </c>
      <c r="U139" s="157">
        <v>0</v>
      </c>
      <c r="V139" s="314"/>
      <c r="W139" s="329">
        <v>2</v>
      </c>
      <c r="X139" s="330" t="s">
        <v>445</v>
      </c>
      <c r="Y139" s="331">
        <v>65</v>
      </c>
      <c r="Z139" s="332">
        <v>0</v>
      </c>
      <c r="AA139" s="332">
        <v>0</v>
      </c>
      <c r="AB139" s="332">
        <v>0</v>
      </c>
      <c r="AC139" s="332">
        <v>0</v>
      </c>
      <c r="AD139" s="332">
        <v>0</v>
      </c>
      <c r="AE139" s="332">
        <v>0</v>
      </c>
      <c r="AF139"/>
      <c r="AG139"/>
    </row>
    <row r="140" spans="1:33" ht="12" x14ac:dyDescent="0.2">
      <c r="A140" s="156" t="s">
        <v>52</v>
      </c>
      <c r="B140" s="156" t="s">
        <v>446</v>
      </c>
      <c r="C140" s="156">
        <v>66</v>
      </c>
      <c r="D140" s="157"/>
      <c r="E140" s="157"/>
      <c r="F140" s="157">
        <v>0</v>
      </c>
      <c r="G140" s="157">
        <v>-20574.259999999998</v>
      </c>
      <c r="H140" s="157">
        <v>0</v>
      </c>
      <c r="I140" s="157">
        <v>68968.570000000007</v>
      </c>
      <c r="J140" s="157">
        <v>0</v>
      </c>
      <c r="K140" s="157">
        <v>0</v>
      </c>
      <c r="L140" s="157">
        <v>0</v>
      </c>
      <c r="M140" s="157">
        <v>52017</v>
      </c>
      <c r="N140" s="157">
        <v>1844672.73</v>
      </c>
      <c r="O140" s="157">
        <v>1584069.43</v>
      </c>
      <c r="P140" s="157">
        <v>1271787.76</v>
      </c>
      <c r="Q140" s="157">
        <v>1229157.6299999999</v>
      </c>
      <c r="R140" s="157">
        <v>1306425.71</v>
      </c>
      <c r="S140" s="157">
        <v>1695260.95</v>
      </c>
      <c r="T140" s="157">
        <v>4227286.96</v>
      </c>
      <c r="U140" s="157">
        <v>741053.26</v>
      </c>
      <c r="V140" s="314"/>
      <c r="W140" s="333">
        <v>3</v>
      </c>
      <c r="X140" s="334" t="s">
        <v>446</v>
      </c>
      <c r="Y140" s="335">
        <v>66</v>
      </c>
      <c r="Z140" s="336">
        <v>741053.26</v>
      </c>
      <c r="AA140" s="336">
        <v>0</v>
      </c>
      <c r="AB140" s="336">
        <v>741053.26</v>
      </c>
      <c r="AC140" s="336">
        <v>4227286.96</v>
      </c>
      <c r="AD140" s="336">
        <v>0</v>
      </c>
      <c r="AE140" s="336">
        <v>4227286.96</v>
      </c>
      <c r="AF140"/>
      <c r="AG140"/>
    </row>
    <row r="141" spans="1:33" ht="12" x14ac:dyDescent="0.2">
      <c r="A141" s="156"/>
      <c r="B141" s="156" t="s">
        <v>447</v>
      </c>
      <c r="C141" s="156">
        <v>67</v>
      </c>
      <c r="D141" s="157">
        <v>49426000</v>
      </c>
      <c r="E141" s="157">
        <v>73665000</v>
      </c>
      <c r="F141" s="157">
        <v>87129921.359999999</v>
      </c>
      <c r="G141" s="157">
        <v>89499517.159999996</v>
      </c>
      <c r="H141" s="157">
        <v>101934296.29000001</v>
      </c>
      <c r="I141" s="157">
        <v>138704022.19999999</v>
      </c>
      <c r="J141" s="157">
        <v>181861678.81999999</v>
      </c>
      <c r="K141" s="157">
        <v>196712009.30000001</v>
      </c>
      <c r="L141" s="157">
        <v>265014533.31</v>
      </c>
      <c r="M141" s="157">
        <v>305846137.31</v>
      </c>
      <c r="N141" s="157">
        <v>280447859.70999998</v>
      </c>
      <c r="O141" s="157">
        <v>264514184.81</v>
      </c>
      <c r="P141" s="157">
        <v>214822749.25999999</v>
      </c>
      <c r="Q141" s="157">
        <v>187804159.63999999</v>
      </c>
      <c r="R141" s="157">
        <v>318492731.56999999</v>
      </c>
      <c r="S141" s="157">
        <v>310269479.56</v>
      </c>
      <c r="T141" s="157">
        <v>259228002.69999999</v>
      </c>
      <c r="U141" s="157">
        <v>232312194.63</v>
      </c>
      <c r="V141" s="314"/>
      <c r="W141" s="329"/>
      <c r="X141" s="330" t="s">
        <v>447</v>
      </c>
      <c r="Y141" s="331">
        <v>67</v>
      </c>
      <c r="Z141" s="332">
        <v>964060180.12</v>
      </c>
      <c r="AA141" s="332">
        <v>-731747985.49000001</v>
      </c>
      <c r="AB141" s="332">
        <v>232312194.63</v>
      </c>
      <c r="AC141" s="332">
        <v>982354066.28999996</v>
      </c>
      <c r="AD141" s="332">
        <v>-723126063.59000003</v>
      </c>
      <c r="AE141" s="332">
        <v>259228002.69999999</v>
      </c>
      <c r="AF141"/>
      <c r="AG141"/>
    </row>
    <row r="142" spans="1:33" ht="12" x14ac:dyDescent="0.2">
      <c r="A142" s="156" t="s">
        <v>2</v>
      </c>
      <c r="B142" s="156" t="s">
        <v>212</v>
      </c>
      <c r="C142" s="156">
        <v>68</v>
      </c>
      <c r="D142" s="157">
        <v>4534000</v>
      </c>
      <c r="E142" s="157">
        <v>14486000</v>
      </c>
      <c r="F142" s="157">
        <v>24694073.77</v>
      </c>
      <c r="G142" s="157">
        <v>25059034.539999999</v>
      </c>
      <c r="H142" s="157">
        <v>36005823.240000002</v>
      </c>
      <c r="I142" s="157">
        <v>39471542.82</v>
      </c>
      <c r="J142" s="157">
        <v>83164570.870000005</v>
      </c>
      <c r="K142" s="157">
        <v>103304297</v>
      </c>
      <c r="L142" s="157">
        <v>136768541.97</v>
      </c>
      <c r="M142" s="157">
        <v>148048286.96000001</v>
      </c>
      <c r="N142" s="157">
        <v>139164218.13</v>
      </c>
      <c r="O142" s="157">
        <v>158381051.28</v>
      </c>
      <c r="P142" s="157">
        <v>155086986.91999999</v>
      </c>
      <c r="Q142" s="157">
        <v>151054858.36000001</v>
      </c>
      <c r="R142" s="157">
        <v>151086931.93000001</v>
      </c>
      <c r="S142" s="157">
        <v>151281907.25999999</v>
      </c>
      <c r="T142" s="157">
        <v>148922348.22</v>
      </c>
      <c r="U142" s="157">
        <v>154073782.97999999</v>
      </c>
      <c r="V142" s="314"/>
      <c r="W142" s="333" t="s">
        <v>2</v>
      </c>
      <c r="X142" s="334" t="s">
        <v>212</v>
      </c>
      <c r="Y142" s="335">
        <v>68</v>
      </c>
      <c r="Z142" s="336">
        <v>885821768.47000003</v>
      </c>
      <c r="AA142" s="336">
        <v>-731747985.49000001</v>
      </c>
      <c r="AB142" s="336">
        <v>154073782.97999999</v>
      </c>
      <c r="AC142" s="336">
        <v>872048411.80999994</v>
      </c>
      <c r="AD142" s="336">
        <v>-723126063.59000003</v>
      </c>
      <c r="AE142" s="336">
        <v>148922348.22</v>
      </c>
      <c r="AF142"/>
      <c r="AG142"/>
    </row>
    <row r="143" spans="1:33" ht="12" x14ac:dyDescent="0.2">
      <c r="A143" s="156" t="s">
        <v>448</v>
      </c>
      <c r="B143" s="156" t="s">
        <v>163</v>
      </c>
      <c r="C143" s="156">
        <v>69</v>
      </c>
      <c r="D143" s="157">
        <v>2436000</v>
      </c>
      <c r="E143" s="157">
        <v>2436000</v>
      </c>
      <c r="F143" s="157">
        <v>2436000</v>
      </c>
      <c r="G143" s="157">
        <v>2436000</v>
      </c>
      <c r="H143" s="157">
        <v>2436000</v>
      </c>
      <c r="I143" s="157">
        <v>2436000</v>
      </c>
      <c r="J143" s="157">
        <v>2436000</v>
      </c>
      <c r="K143" s="157">
        <v>2436000</v>
      </c>
      <c r="L143" s="157">
        <v>2436000</v>
      </c>
      <c r="M143" s="157">
        <v>2436000</v>
      </c>
      <c r="N143" s="157">
        <v>2436000</v>
      </c>
      <c r="O143" s="157">
        <v>2436000</v>
      </c>
      <c r="P143" s="157">
        <v>2436000</v>
      </c>
      <c r="Q143" s="157">
        <v>2436000</v>
      </c>
      <c r="R143" s="157">
        <v>2436000</v>
      </c>
      <c r="S143" s="157">
        <v>2436000</v>
      </c>
      <c r="T143" s="157">
        <v>2436000</v>
      </c>
      <c r="U143" s="157">
        <v>2436000</v>
      </c>
      <c r="V143" s="314"/>
      <c r="W143" s="329" t="s">
        <v>448</v>
      </c>
      <c r="X143" s="330" t="s">
        <v>163</v>
      </c>
      <c r="Y143" s="331">
        <v>69</v>
      </c>
      <c r="Z143" s="332">
        <v>2436000</v>
      </c>
      <c r="AA143" s="332">
        <v>0</v>
      </c>
      <c r="AB143" s="332">
        <v>2436000</v>
      </c>
      <c r="AC143" s="332">
        <v>2436000</v>
      </c>
      <c r="AD143" s="332">
        <v>0</v>
      </c>
      <c r="AE143" s="332">
        <v>2436000</v>
      </c>
      <c r="AF143"/>
      <c r="AG143"/>
    </row>
    <row r="144" spans="1:33" ht="12" x14ac:dyDescent="0.2">
      <c r="A144" s="156" t="s">
        <v>449</v>
      </c>
      <c r="B144" s="156" t="s">
        <v>163</v>
      </c>
      <c r="C144" s="156">
        <v>70</v>
      </c>
      <c r="D144" s="157">
        <v>2436000</v>
      </c>
      <c r="E144" s="157">
        <v>2436000</v>
      </c>
      <c r="F144" s="157">
        <v>2436000</v>
      </c>
      <c r="G144" s="157">
        <v>2436000</v>
      </c>
      <c r="H144" s="157">
        <v>2436000</v>
      </c>
      <c r="I144" s="157">
        <v>2436000</v>
      </c>
      <c r="J144" s="157">
        <v>2436000</v>
      </c>
      <c r="K144" s="157">
        <v>2436000</v>
      </c>
      <c r="L144" s="157">
        <v>2436000</v>
      </c>
      <c r="M144" s="157">
        <v>2436000</v>
      </c>
      <c r="N144" s="157">
        <v>2436000</v>
      </c>
      <c r="O144" s="157">
        <v>2436000</v>
      </c>
      <c r="P144" s="157">
        <v>2436000</v>
      </c>
      <c r="Q144" s="157">
        <v>2436000</v>
      </c>
      <c r="R144" s="157">
        <v>2436000</v>
      </c>
      <c r="S144" s="157">
        <v>2436000</v>
      </c>
      <c r="T144" s="157">
        <v>2436000</v>
      </c>
      <c r="U144" s="157">
        <v>2436000</v>
      </c>
      <c r="V144" s="314"/>
      <c r="W144" s="333" t="s">
        <v>449</v>
      </c>
      <c r="X144" s="334" t="s">
        <v>163</v>
      </c>
      <c r="Y144" s="335">
        <v>70</v>
      </c>
      <c r="Z144" s="336">
        <v>2436000</v>
      </c>
      <c r="AA144" s="336">
        <v>0</v>
      </c>
      <c r="AB144" s="336">
        <v>2436000</v>
      </c>
      <c r="AC144" s="336">
        <v>2436000</v>
      </c>
      <c r="AD144" s="336">
        <v>0</v>
      </c>
      <c r="AE144" s="336">
        <v>2436000</v>
      </c>
      <c r="AF144"/>
      <c r="AG144"/>
    </row>
    <row r="145" spans="1:33" ht="12" x14ac:dyDescent="0.2">
      <c r="A145" s="156" t="s">
        <v>51</v>
      </c>
      <c r="B145" s="156" t="s">
        <v>450</v>
      </c>
      <c r="C145" s="156">
        <v>71</v>
      </c>
      <c r="D145" s="157"/>
      <c r="E145" s="157"/>
      <c r="F145" s="157">
        <v>0</v>
      </c>
      <c r="G145" s="157">
        <v>0</v>
      </c>
      <c r="H145" s="157">
        <v>0</v>
      </c>
      <c r="I145" s="157">
        <v>0</v>
      </c>
      <c r="J145" s="157">
        <v>0</v>
      </c>
      <c r="K145" s="157">
        <v>0</v>
      </c>
      <c r="L145" s="157">
        <v>0</v>
      </c>
      <c r="M145" s="157">
        <v>0</v>
      </c>
      <c r="N145" s="157">
        <v>0</v>
      </c>
      <c r="O145" s="157">
        <v>0</v>
      </c>
      <c r="P145" s="157">
        <v>0</v>
      </c>
      <c r="Q145" s="157">
        <v>0</v>
      </c>
      <c r="R145" s="157">
        <v>0</v>
      </c>
      <c r="S145" s="157">
        <v>0</v>
      </c>
      <c r="T145" s="157">
        <v>0</v>
      </c>
      <c r="U145" s="157">
        <v>0</v>
      </c>
      <c r="V145" s="314"/>
      <c r="W145" s="329">
        <v>2</v>
      </c>
      <c r="X145" s="330" t="s">
        <v>450</v>
      </c>
      <c r="Y145" s="331">
        <v>71</v>
      </c>
      <c r="Z145" s="332">
        <v>0</v>
      </c>
      <c r="AA145" s="332">
        <v>0</v>
      </c>
      <c r="AB145" s="332">
        <v>0</v>
      </c>
      <c r="AC145" s="332">
        <v>0</v>
      </c>
      <c r="AD145" s="332">
        <v>0</v>
      </c>
      <c r="AE145" s="332">
        <v>0</v>
      </c>
      <c r="AF145"/>
      <c r="AG145"/>
    </row>
    <row r="146" spans="1:33" ht="12" x14ac:dyDescent="0.2">
      <c r="A146" s="156" t="s">
        <v>52</v>
      </c>
      <c r="B146" s="156" t="s">
        <v>165</v>
      </c>
      <c r="C146" s="156">
        <v>72</v>
      </c>
      <c r="D146" s="157"/>
      <c r="E146" s="157"/>
      <c r="F146" s="157">
        <v>0</v>
      </c>
      <c r="G146" s="157">
        <v>0</v>
      </c>
      <c r="H146" s="157">
        <v>0</v>
      </c>
      <c r="I146" s="157">
        <v>0</v>
      </c>
      <c r="J146" s="157">
        <v>0</v>
      </c>
      <c r="K146" s="157">
        <v>0</v>
      </c>
      <c r="L146" s="157">
        <v>0</v>
      </c>
      <c r="M146" s="157">
        <v>0</v>
      </c>
      <c r="N146" s="157">
        <v>0</v>
      </c>
      <c r="O146" s="157">
        <v>0</v>
      </c>
      <c r="P146" s="157">
        <v>0</v>
      </c>
      <c r="Q146" s="157">
        <v>0</v>
      </c>
      <c r="R146" s="157">
        <v>0</v>
      </c>
      <c r="S146" s="157">
        <v>0</v>
      </c>
      <c r="T146" s="157">
        <v>0</v>
      </c>
      <c r="U146" s="157">
        <v>0</v>
      </c>
      <c r="V146" s="314"/>
      <c r="W146" s="333">
        <v>3</v>
      </c>
      <c r="X146" s="334" t="s">
        <v>165</v>
      </c>
      <c r="Y146" s="335">
        <v>72</v>
      </c>
      <c r="Z146" s="336">
        <v>0</v>
      </c>
      <c r="AA146" s="336">
        <v>0</v>
      </c>
      <c r="AB146" s="336">
        <v>0</v>
      </c>
      <c r="AC146" s="336">
        <v>0</v>
      </c>
      <c r="AD146" s="336">
        <v>0</v>
      </c>
      <c r="AE146" s="336">
        <v>0</v>
      </c>
      <c r="AF146"/>
      <c r="AG146"/>
    </row>
    <row r="147" spans="1:33" ht="12" x14ac:dyDescent="0.2">
      <c r="A147" s="156" t="s">
        <v>451</v>
      </c>
      <c r="B147" s="156" t="s">
        <v>85</v>
      </c>
      <c r="C147" s="156">
        <v>73</v>
      </c>
      <c r="D147" s="157">
        <v>2000000</v>
      </c>
      <c r="E147" s="157">
        <v>2000000</v>
      </c>
      <c r="F147" s="157">
        <v>2000000</v>
      </c>
      <c r="G147" s="157">
        <v>2000000</v>
      </c>
      <c r="H147" s="157">
        <v>2000000</v>
      </c>
      <c r="I147" s="157">
        <v>2000000</v>
      </c>
      <c r="J147" s="157">
        <v>28000000</v>
      </c>
      <c r="K147" s="157">
        <v>28000000</v>
      </c>
      <c r="L147" s="157">
        <v>34000000</v>
      </c>
      <c r="M147" s="157">
        <v>34000000</v>
      </c>
      <c r="N147" s="157">
        <v>20000000</v>
      </c>
      <c r="O147" s="157">
        <v>20000000</v>
      </c>
      <c r="P147" s="157">
        <v>4900000</v>
      </c>
      <c r="Q147" s="157">
        <v>0</v>
      </c>
      <c r="R147" s="157">
        <v>0</v>
      </c>
      <c r="S147" s="157">
        <v>0</v>
      </c>
      <c r="T147" s="157">
        <v>0</v>
      </c>
      <c r="U147" s="157">
        <v>0</v>
      </c>
      <c r="V147" s="314"/>
      <c r="W147" s="329" t="s">
        <v>451</v>
      </c>
      <c r="X147" s="330" t="s">
        <v>85</v>
      </c>
      <c r="Y147" s="331">
        <v>73</v>
      </c>
      <c r="Z147" s="332">
        <v>0</v>
      </c>
      <c r="AA147" s="332">
        <v>0</v>
      </c>
      <c r="AB147" s="332">
        <v>0</v>
      </c>
      <c r="AC147" s="332">
        <v>0</v>
      </c>
      <c r="AD147" s="332">
        <v>0</v>
      </c>
      <c r="AE147" s="332">
        <v>0</v>
      </c>
      <c r="AF147"/>
      <c r="AG147"/>
    </row>
    <row r="148" spans="1:33" ht="12" x14ac:dyDescent="0.2">
      <c r="A148" s="156" t="s">
        <v>452</v>
      </c>
      <c r="B148" s="156" t="s">
        <v>453</v>
      </c>
      <c r="C148" s="156">
        <v>74</v>
      </c>
      <c r="D148" s="157"/>
      <c r="E148" s="157"/>
      <c r="F148" s="157">
        <v>0</v>
      </c>
      <c r="G148" s="157">
        <v>0</v>
      </c>
      <c r="H148" s="157">
        <v>0</v>
      </c>
      <c r="I148" s="157">
        <v>0</v>
      </c>
      <c r="J148" s="157">
        <v>0</v>
      </c>
      <c r="K148" s="157">
        <v>0</v>
      </c>
      <c r="L148" s="157">
        <v>0</v>
      </c>
      <c r="M148" s="157">
        <v>0</v>
      </c>
      <c r="N148" s="157">
        <v>0</v>
      </c>
      <c r="O148" s="157">
        <v>0</v>
      </c>
      <c r="P148" s="157">
        <v>0</v>
      </c>
      <c r="Q148" s="157">
        <v>0</v>
      </c>
      <c r="R148" s="157">
        <v>0</v>
      </c>
      <c r="S148" s="157">
        <v>0</v>
      </c>
      <c r="T148" s="157">
        <v>0</v>
      </c>
      <c r="U148" s="157">
        <v>0</v>
      </c>
      <c r="V148" s="314"/>
      <c r="W148" s="333" t="s">
        <v>452</v>
      </c>
      <c r="X148" s="334" t="s">
        <v>453</v>
      </c>
      <c r="Y148" s="335">
        <v>74</v>
      </c>
      <c r="Z148" s="336">
        <v>0</v>
      </c>
      <c r="AA148" s="336">
        <v>0</v>
      </c>
      <c r="AB148" s="336">
        <v>0</v>
      </c>
      <c r="AC148" s="336">
        <v>0</v>
      </c>
      <c r="AD148" s="336">
        <v>0</v>
      </c>
      <c r="AE148" s="336">
        <v>0</v>
      </c>
      <c r="AF148"/>
      <c r="AG148"/>
    </row>
    <row r="149" spans="1:33" ht="12" x14ac:dyDescent="0.2">
      <c r="A149" s="156" t="s">
        <v>51</v>
      </c>
      <c r="B149" s="156" t="s">
        <v>87</v>
      </c>
      <c r="C149" s="156">
        <v>75</v>
      </c>
      <c r="D149" s="157">
        <v>2000000</v>
      </c>
      <c r="E149" s="157">
        <v>2000000</v>
      </c>
      <c r="F149" s="157">
        <v>2000000</v>
      </c>
      <c r="G149" s="157">
        <v>2000000</v>
      </c>
      <c r="H149" s="157">
        <v>2000000</v>
      </c>
      <c r="I149" s="157">
        <v>2000000</v>
      </c>
      <c r="J149" s="157">
        <v>28000000</v>
      </c>
      <c r="K149" s="157">
        <v>28000000</v>
      </c>
      <c r="L149" s="157">
        <v>34000000</v>
      </c>
      <c r="M149" s="157">
        <v>34000000</v>
      </c>
      <c r="N149" s="157">
        <v>20000000</v>
      </c>
      <c r="O149" s="157">
        <v>20000000</v>
      </c>
      <c r="P149" s="157">
        <v>4900000</v>
      </c>
      <c r="Q149" s="157">
        <v>0</v>
      </c>
      <c r="R149" s="157">
        <v>0</v>
      </c>
      <c r="S149" s="157">
        <v>0</v>
      </c>
      <c r="T149" s="157">
        <v>0</v>
      </c>
      <c r="U149" s="157">
        <v>0</v>
      </c>
      <c r="V149" s="314"/>
      <c r="W149" s="329">
        <v>2</v>
      </c>
      <c r="X149" s="330" t="s">
        <v>87</v>
      </c>
      <c r="Y149" s="331">
        <v>75</v>
      </c>
      <c r="Z149" s="332">
        <v>0</v>
      </c>
      <c r="AA149" s="332">
        <v>0</v>
      </c>
      <c r="AB149" s="332">
        <v>0</v>
      </c>
      <c r="AC149" s="332">
        <v>0</v>
      </c>
      <c r="AD149" s="332">
        <v>0</v>
      </c>
      <c r="AE149" s="332">
        <v>0</v>
      </c>
      <c r="AF149"/>
      <c r="AG149"/>
    </row>
    <row r="150" spans="1:33" ht="12" x14ac:dyDescent="0.2">
      <c r="A150" s="156" t="s">
        <v>52</v>
      </c>
      <c r="B150" s="156" t="s">
        <v>454</v>
      </c>
      <c r="C150" s="156">
        <v>76</v>
      </c>
      <c r="D150" s="157"/>
      <c r="E150" s="157"/>
      <c r="F150" s="157">
        <v>0</v>
      </c>
      <c r="G150" s="157">
        <v>0</v>
      </c>
      <c r="H150" s="157">
        <v>0</v>
      </c>
      <c r="I150" s="157">
        <v>0</v>
      </c>
      <c r="J150" s="157">
        <v>0</v>
      </c>
      <c r="K150" s="157">
        <v>0</v>
      </c>
      <c r="L150" s="157">
        <v>0</v>
      </c>
      <c r="M150" s="157">
        <v>0</v>
      </c>
      <c r="N150" s="157">
        <v>0</v>
      </c>
      <c r="O150" s="157">
        <v>0</v>
      </c>
      <c r="P150" s="157">
        <v>0</v>
      </c>
      <c r="Q150" s="157">
        <v>0</v>
      </c>
      <c r="R150" s="157">
        <v>0</v>
      </c>
      <c r="S150" s="157">
        <v>0</v>
      </c>
      <c r="T150" s="157">
        <v>0</v>
      </c>
      <c r="U150" s="157">
        <v>0</v>
      </c>
      <c r="V150" s="314"/>
      <c r="W150" s="333">
        <v>3</v>
      </c>
      <c r="X150" s="334" t="s">
        <v>454</v>
      </c>
      <c r="Y150" s="335">
        <v>76</v>
      </c>
      <c r="Z150" s="336">
        <v>0</v>
      </c>
      <c r="AA150" s="336">
        <v>0</v>
      </c>
      <c r="AB150" s="336">
        <v>0</v>
      </c>
      <c r="AC150" s="336">
        <v>0</v>
      </c>
      <c r="AD150" s="336">
        <v>0</v>
      </c>
      <c r="AE150" s="336">
        <v>0</v>
      </c>
      <c r="AF150"/>
      <c r="AG150"/>
    </row>
    <row r="151" spans="1:33" ht="12" x14ac:dyDescent="0.2">
      <c r="A151" s="156" t="s">
        <v>54</v>
      </c>
      <c r="B151" s="156" t="s">
        <v>455</v>
      </c>
      <c r="C151" s="156">
        <v>77</v>
      </c>
      <c r="D151" s="157"/>
      <c r="E151" s="157"/>
      <c r="F151" s="157">
        <v>0</v>
      </c>
      <c r="G151" s="157">
        <v>0</v>
      </c>
      <c r="H151" s="157">
        <v>0</v>
      </c>
      <c r="I151" s="157">
        <v>0</v>
      </c>
      <c r="J151" s="157">
        <v>0</v>
      </c>
      <c r="K151" s="157">
        <v>0</v>
      </c>
      <c r="L151" s="157">
        <v>0</v>
      </c>
      <c r="M151" s="157">
        <v>0</v>
      </c>
      <c r="N151" s="157">
        <v>0</v>
      </c>
      <c r="O151" s="157">
        <v>0</v>
      </c>
      <c r="P151" s="157">
        <v>0</v>
      </c>
      <c r="Q151" s="157">
        <v>0</v>
      </c>
      <c r="R151" s="157">
        <v>0</v>
      </c>
      <c r="S151" s="157">
        <v>0</v>
      </c>
      <c r="T151" s="157">
        <v>0</v>
      </c>
      <c r="U151" s="157">
        <v>0</v>
      </c>
      <c r="V151" s="314"/>
      <c r="W151" s="329">
        <v>4</v>
      </c>
      <c r="X151" s="330" t="s">
        <v>455</v>
      </c>
      <c r="Y151" s="331">
        <v>77</v>
      </c>
      <c r="Z151" s="332">
        <v>0</v>
      </c>
      <c r="AA151" s="332">
        <v>0</v>
      </c>
      <c r="AB151" s="332">
        <v>0</v>
      </c>
      <c r="AC151" s="332">
        <v>0</v>
      </c>
      <c r="AD151" s="332">
        <v>0</v>
      </c>
      <c r="AE151" s="332">
        <v>0</v>
      </c>
      <c r="AF151"/>
      <c r="AG151"/>
    </row>
    <row r="152" spans="1:33" ht="12" x14ac:dyDescent="0.2">
      <c r="A152" s="156" t="s">
        <v>456</v>
      </c>
      <c r="B152" s="156" t="s">
        <v>457</v>
      </c>
      <c r="C152" s="156">
        <v>78</v>
      </c>
      <c r="D152" s="157"/>
      <c r="E152" s="157">
        <v>134000</v>
      </c>
      <c r="F152" s="157">
        <v>432370</v>
      </c>
      <c r="G152" s="157">
        <v>487200</v>
      </c>
      <c r="H152" s="157">
        <v>487200</v>
      </c>
      <c r="I152" s="157">
        <v>487200</v>
      </c>
      <c r="J152" s="157">
        <v>487200</v>
      </c>
      <c r="K152" s="157">
        <v>487200</v>
      </c>
      <c r="L152" s="157">
        <v>487200</v>
      </c>
      <c r="M152" s="157">
        <v>487200</v>
      </c>
      <c r="N152" s="157">
        <v>487200</v>
      </c>
      <c r="O152" s="157">
        <v>487200</v>
      </c>
      <c r="P152" s="157">
        <v>487200</v>
      </c>
      <c r="Q152" s="157">
        <v>487200</v>
      </c>
      <c r="R152" s="157">
        <v>487200</v>
      </c>
      <c r="S152" s="157">
        <v>487200</v>
      </c>
      <c r="T152" s="157">
        <v>487200</v>
      </c>
      <c r="U152" s="157">
        <v>487200</v>
      </c>
      <c r="V152" s="314"/>
      <c r="W152" s="333" t="s">
        <v>456</v>
      </c>
      <c r="X152" s="334" t="s">
        <v>457</v>
      </c>
      <c r="Y152" s="335">
        <v>78</v>
      </c>
      <c r="Z152" s="336">
        <v>487200</v>
      </c>
      <c r="AA152" s="336">
        <v>0</v>
      </c>
      <c r="AB152" s="336">
        <v>487200</v>
      </c>
      <c r="AC152" s="336">
        <v>487200</v>
      </c>
      <c r="AD152" s="336">
        <v>0</v>
      </c>
      <c r="AE152" s="336">
        <v>487200</v>
      </c>
      <c r="AF152"/>
      <c r="AG152"/>
    </row>
    <row r="153" spans="1:33" ht="12" x14ac:dyDescent="0.2">
      <c r="A153" s="156" t="s">
        <v>458</v>
      </c>
      <c r="B153" s="156" t="s">
        <v>459</v>
      </c>
      <c r="C153" s="156">
        <v>79</v>
      </c>
      <c r="D153" s="157"/>
      <c r="E153" s="157">
        <v>134000</v>
      </c>
      <c r="F153" s="157">
        <v>432370</v>
      </c>
      <c r="G153" s="157">
        <v>487200</v>
      </c>
      <c r="H153" s="157">
        <v>487200</v>
      </c>
      <c r="I153" s="157">
        <v>487200</v>
      </c>
      <c r="J153" s="157">
        <v>487200</v>
      </c>
      <c r="K153" s="157">
        <v>487200</v>
      </c>
      <c r="L153" s="157">
        <v>487200</v>
      </c>
      <c r="M153" s="157">
        <v>487200</v>
      </c>
      <c r="N153" s="157">
        <v>487200</v>
      </c>
      <c r="O153" s="157">
        <v>487200</v>
      </c>
      <c r="P153" s="157">
        <v>487200</v>
      </c>
      <c r="Q153" s="157">
        <v>487200</v>
      </c>
      <c r="R153" s="157">
        <v>487200</v>
      </c>
      <c r="S153" s="157">
        <v>487200</v>
      </c>
      <c r="T153" s="157">
        <v>487200</v>
      </c>
      <c r="U153" s="157">
        <v>487200</v>
      </c>
      <c r="V153" s="314"/>
      <c r="W153" s="329" t="s">
        <v>458</v>
      </c>
      <c r="X153" s="330" t="s">
        <v>459</v>
      </c>
      <c r="Y153" s="331">
        <v>79</v>
      </c>
      <c r="Z153" s="332">
        <v>487200</v>
      </c>
      <c r="AA153" s="332">
        <v>0</v>
      </c>
      <c r="AB153" s="332">
        <v>487200</v>
      </c>
      <c r="AC153" s="332">
        <v>487200</v>
      </c>
      <c r="AD153" s="332">
        <v>0</v>
      </c>
      <c r="AE153" s="332">
        <v>487200</v>
      </c>
      <c r="AF153"/>
      <c r="AG153"/>
    </row>
    <row r="154" spans="1:33" ht="12" x14ac:dyDescent="0.2">
      <c r="A154" s="156" t="s">
        <v>51</v>
      </c>
      <c r="B154" s="156" t="s">
        <v>460</v>
      </c>
      <c r="C154" s="156">
        <v>80</v>
      </c>
      <c r="D154" s="157"/>
      <c r="E154" s="157"/>
      <c r="F154" s="157">
        <v>0</v>
      </c>
      <c r="G154" s="157">
        <v>0</v>
      </c>
      <c r="H154" s="157">
        <v>0</v>
      </c>
      <c r="I154" s="157">
        <v>0</v>
      </c>
      <c r="J154" s="157">
        <v>0</v>
      </c>
      <c r="K154" s="157">
        <v>0</v>
      </c>
      <c r="L154" s="157">
        <v>0</v>
      </c>
      <c r="M154" s="157">
        <v>0</v>
      </c>
      <c r="N154" s="157">
        <v>0</v>
      </c>
      <c r="O154" s="157">
        <v>0</v>
      </c>
      <c r="P154" s="157">
        <v>0</v>
      </c>
      <c r="Q154" s="157">
        <v>0</v>
      </c>
      <c r="R154" s="157">
        <v>0</v>
      </c>
      <c r="S154" s="157">
        <v>0</v>
      </c>
      <c r="T154" s="157">
        <v>0</v>
      </c>
      <c r="U154" s="157">
        <v>0</v>
      </c>
      <c r="V154" s="314"/>
      <c r="W154" s="333">
        <v>2</v>
      </c>
      <c r="X154" s="334" t="s">
        <v>460</v>
      </c>
      <c r="Y154" s="335">
        <v>80</v>
      </c>
      <c r="Z154" s="336">
        <v>0</v>
      </c>
      <c r="AA154" s="336">
        <v>0</v>
      </c>
      <c r="AB154" s="336">
        <v>0</v>
      </c>
      <c r="AC154" s="336">
        <v>0</v>
      </c>
      <c r="AD154" s="336">
        <v>0</v>
      </c>
      <c r="AE154" s="336">
        <v>0</v>
      </c>
      <c r="AF154"/>
      <c r="AG154"/>
    </row>
    <row r="155" spans="1:33" ht="12" x14ac:dyDescent="0.2">
      <c r="A155" s="156" t="s">
        <v>461</v>
      </c>
      <c r="B155" s="156" t="s">
        <v>206</v>
      </c>
      <c r="C155" s="156">
        <v>81</v>
      </c>
      <c r="D155" s="157">
        <v>8000</v>
      </c>
      <c r="E155" s="157">
        <v>-36000</v>
      </c>
      <c r="F155" s="157">
        <v>9618383.7699999996</v>
      </c>
      <c r="G155" s="157">
        <v>19770873.77</v>
      </c>
      <c r="H155" s="157">
        <v>20135834.539999999</v>
      </c>
      <c r="I155" s="157">
        <v>31082623.239999998</v>
      </c>
      <c r="J155" s="157">
        <v>34548342.82</v>
      </c>
      <c r="K155" s="157">
        <v>52241370.869999997</v>
      </c>
      <c r="L155" s="157">
        <v>72381097</v>
      </c>
      <c r="M155" s="157">
        <v>99845341.969999999</v>
      </c>
      <c r="N155" s="157">
        <v>111114742.95999999</v>
      </c>
      <c r="O155" s="157">
        <v>116241018.13</v>
      </c>
      <c r="P155" s="157">
        <v>130443145.62</v>
      </c>
      <c r="Q155" s="157">
        <v>147297364.44</v>
      </c>
      <c r="R155" s="157">
        <v>148131630.36000001</v>
      </c>
      <c r="S155" s="157">
        <v>148163731.93000001</v>
      </c>
      <c r="T155" s="157">
        <v>141358707.25999999</v>
      </c>
      <c r="U155" s="157">
        <v>134234442.22</v>
      </c>
      <c r="V155" s="314"/>
      <c r="W155" s="329" t="s">
        <v>461</v>
      </c>
      <c r="X155" s="330" t="s">
        <v>206</v>
      </c>
      <c r="Y155" s="331">
        <v>81</v>
      </c>
      <c r="Z155" s="332">
        <v>134234442.22</v>
      </c>
      <c r="AA155" s="332">
        <v>0</v>
      </c>
      <c r="AB155" s="332">
        <v>134234442.22</v>
      </c>
      <c r="AC155" s="332">
        <v>141358707.25999999</v>
      </c>
      <c r="AD155" s="332">
        <v>0</v>
      </c>
      <c r="AE155" s="332">
        <v>141358707.25999999</v>
      </c>
      <c r="AF155"/>
      <c r="AG155"/>
    </row>
    <row r="156" spans="1:33" ht="12" x14ac:dyDescent="0.2">
      <c r="A156" s="156" t="s">
        <v>462</v>
      </c>
      <c r="B156" s="156" t="s">
        <v>463</v>
      </c>
      <c r="C156" s="156">
        <v>82</v>
      </c>
      <c r="D156" s="157">
        <v>1195000</v>
      </c>
      <c r="E156" s="157">
        <v>1151000</v>
      </c>
      <c r="F156" s="157">
        <v>10805160.74</v>
      </c>
      <c r="G156" s="157">
        <v>19770873.77</v>
      </c>
      <c r="H156" s="157">
        <v>20135834.539999999</v>
      </c>
      <c r="I156" s="157">
        <v>31082623.239999998</v>
      </c>
      <c r="J156" s="157">
        <v>34548342.82</v>
      </c>
      <c r="K156" s="157">
        <v>52241370.869999997</v>
      </c>
      <c r="L156" s="157">
        <v>72381097</v>
      </c>
      <c r="M156" s="157">
        <v>99845341.969999999</v>
      </c>
      <c r="N156" s="157">
        <v>111114742.95999999</v>
      </c>
      <c r="O156" s="157">
        <v>116241018.13</v>
      </c>
      <c r="P156" s="157">
        <v>130443145.62</v>
      </c>
      <c r="Q156" s="157">
        <v>147297364.44</v>
      </c>
      <c r="R156" s="157">
        <v>148131630.36000001</v>
      </c>
      <c r="S156" s="157">
        <v>148163731.93000001</v>
      </c>
      <c r="T156" s="157">
        <v>141358707.25999999</v>
      </c>
      <c r="U156" s="157">
        <v>134234442.22</v>
      </c>
      <c r="V156" s="314"/>
      <c r="W156" s="333" t="s">
        <v>462</v>
      </c>
      <c r="X156" s="334" t="s">
        <v>463</v>
      </c>
      <c r="Y156" s="335">
        <v>82</v>
      </c>
      <c r="Z156" s="336">
        <v>134234442.22</v>
      </c>
      <c r="AA156" s="336">
        <v>0</v>
      </c>
      <c r="AB156" s="336">
        <v>134234442.22</v>
      </c>
      <c r="AC156" s="336">
        <v>141358707.25999999</v>
      </c>
      <c r="AD156" s="336">
        <v>0</v>
      </c>
      <c r="AE156" s="336">
        <v>141358707.25999999</v>
      </c>
      <c r="AF156"/>
      <c r="AG156"/>
    </row>
    <row r="157" spans="1:33" ht="12" x14ac:dyDescent="0.2">
      <c r="A157" s="156" t="s">
        <v>51</v>
      </c>
      <c r="B157" s="156" t="s">
        <v>464</v>
      </c>
      <c r="C157" s="156">
        <v>83</v>
      </c>
      <c r="D157" s="157">
        <v>-1187000</v>
      </c>
      <c r="E157" s="157">
        <v>-1187000</v>
      </c>
      <c r="F157" s="157">
        <v>-1186776.97</v>
      </c>
      <c r="G157" s="157">
        <v>0</v>
      </c>
      <c r="H157" s="157">
        <v>0</v>
      </c>
      <c r="I157" s="157">
        <v>0</v>
      </c>
      <c r="J157" s="157">
        <v>0</v>
      </c>
      <c r="K157" s="157">
        <v>0</v>
      </c>
      <c r="L157" s="157">
        <v>0</v>
      </c>
      <c r="M157" s="157">
        <v>0</v>
      </c>
      <c r="N157" s="157">
        <v>0</v>
      </c>
      <c r="O157" s="157">
        <v>0</v>
      </c>
      <c r="P157" s="157">
        <v>0</v>
      </c>
      <c r="Q157" s="157">
        <v>0</v>
      </c>
      <c r="R157" s="157">
        <v>0</v>
      </c>
      <c r="S157" s="157">
        <v>0</v>
      </c>
      <c r="T157" s="157">
        <v>0</v>
      </c>
      <c r="U157" s="157">
        <v>0</v>
      </c>
      <c r="V157" s="314"/>
      <c r="W157" s="329">
        <v>2</v>
      </c>
      <c r="X157" s="330" t="s">
        <v>464</v>
      </c>
      <c r="Y157" s="331">
        <v>83</v>
      </c>
      <c r="Z157" s="332">
        <v>0</v>
      </c>
      <c r="AA157" s="332">
        <v>0</v>
      </c>
      <c r="AB157" s="332">
        <v>0</v>
      </c>
      <c r="AC157" s="332">
        <v>0</v>
      </c>
      <c r="AD157" s="332">
        <v>0</v>
      </c>
      <c r="AE157" s="332">
        <v>0</v>
      </c>
      <c r="AF157"/>
      <c r="AG157"/>
    </row>
    <row r="158" spans="1:33" ht="12" x14ac:dyDescent="0.2">
      <c r="A158" s="156" t="s">
        <v>465</v>
      </c>
      <c r="B158" s="246" t="s">
        <v>466</v>
      </c>
      <c r="C158" s="246">
        <v>84</v>
      </c>
      <c r="D158" s="157">
        <v>90000</v>
      </c>
      <c r="E158" s="157">
        <v>9952000</v>
      </c>
      <c r="F158" s="157">
        <v>10207320</v>
      </c>
      <c r="G158" s="157">
        <v>364960.77</v>
      </c>
      <c r="H158" s="157">
        <v>10946788.699999999</v>
      </c>
      <c r="I158" s="157">
        <v>3465719.58</v>
      </c>
      <c r="J158" s="157">
        <v>17693028.050000001</v>
      </c>
      <c r="K158" s="157">
        <v>20139726.129999999</v>
      </c>
      <c r="L158" s="157">
        <v>27464244.969999999</v>
      </c>
      <c r="M158" s="157">
        <v>11279744.99</v>
      </c>
      <c r="N158" s="157">
        <v>5126275.17</v>
      </c>
      <c r="O158" s="157">
        <v>14202127.49</v>
      </c>
      <c r="P158" s="157">
        <v>16820641.300000001</v>
      </c>
      <c r="Q158" s="157">
        <v>834293.92</v>
      </c>
      <c r="R158" s="157">
        <v>32101.57</v>
      </c>
      <c r="S158" s="157">
        <v>194975.33</v>
      </c>
      <c r="T158" s="157">
        <v>4640440.96</v>
      </c>
      <c r="U158" s="157">
        <v>16916140.760000002</v>
      </c>
      <c r="V158" s="314"/>
      <c r="W158" s="333" t="s">
        <v>465</v>
      </c>
      <c r="X158" s="334" t="s">
        <v>466</v>
      </c>
      <c r="Y158" s="335">
        <v>84</v>
      </c>
      <c r="Z158" s="336">
        <v>748664126.25</v>
      </c>
      <c r="AA158" s="336">
        <v>-731747985.49000001</v>
      </c>
      <c r="AB158" s="336">
        <v>16916140.760000002</v>
      </c>
      <c r="AC158" s="336">
        <v>727766504.54999995</v>
      </c>
      <c r="AD158" s="336">
        <v>-723126063.59000003</v>
      </c>
      <c r="AE158" s="336">
        <v>4640440.96</v>
      </c>
      <c r="AF158"/>
      <c r="AG158"/>
    </row>
    <row r="159" spans="1:33" ht="12" x14ac:dyDescent="0.2">
      <c r="A159" s="156" t="s">
        <v>10</v>
      </c>
      <c r="B159" s="156" t="s">
        <v>467</v>
      </c>
      <c r="C159" s="156">
        <v>85</v>
      </c>
      <c r="D159" s="157">
        <v>44892000</v>
      </c>
      <c r="E159" s="157">
        <v>59179000</v>
      </c>
      <c r="F159" s="157">
        <v>61996339.850000001</v>
      </c>
      <c r="G159" s="157">
        <v>64333786.770000003</v>
      </c>
      <c r="H159" s="157">
        <v>65862445.509999998</v>
      </c>
      <c r="I159" s="157">
        <v>99221526.930000007</v>
      </c>
      <c r="J159" s="157">
        <v>98680077.019999996</v>
      </c>
      <c r="K159" s="157">
        <v>93360048.230000004</v>
      </c>
      <c r="L159" s="157">
        <v>128245991.34</v>
      </c>
      <c r="M159" s="157">
        <v>157762931.30000001</v>
      </c>
      <c r="N159" s="157">
        <v>140831816.22999999</v>
      </c>
      <c r="O159" s="157">
        <v>110615984.39</v>
      </c>
      <c r="P159" s="157">
        <v>59423881.549999997</v>
      </c>
      <c r="Q159" s="157">
        <v>35701828.520000003</v>
      </c>
      <c r="R159" s="157">
        <v>166345069.56999999</v>
      </c>
      <c r="S159" s="157">
        <v>157668375.34999999</v>
      </c>
      <c r="T159" s="157">
        <v>108695398.3</v>
      </c>
      <c r="U159" s="157">
        <v>78238411.650000006</v>
      </c>
      <c r="V159" s="314"/>
      <c r="W159" s="329" t="s">
        <v>10</v>
      </c>
      <c r="X159" s="330" t="s">
        <v>467</v>
      </c>
      <c r="Y159" s="331">
        <v>85</v>
      </c>
      <c r="Z159" s="332">
        <v>78238411.650000006</v>
      </c>
      <c r="AA159" s="332">
        <v>0</v>
      </c>
      <c r="AB159" s="332">
        <v>78238411.650000006</v>
      </c>
      <c r="AC159" s="332">
        <v>108695398.3</v>
      </c>
      <c r="AD159" s="332">
        <v>0</v>
      </c>
      <c r="AE159" s="332">
        <v>108695398.3</v>
      </c>
      <c r="AF159"/>
      <c r="AG159"/>
    </row>
    <row r="160" spans="1:33" ht="12" x14ac:dyDescent="0.2">
      <c r="A160" s="156" t="s">
        <v>389</v>
      </c>
      <c r="B160" s="156" t="s">
        <v>468</v>
      </c>
      <c r="C160" s="156">
        <v>86</v>
      </c>
      <c r="D160" s="157">
        <v>13710000</v>
      </c>
      <c r="E160" s="157">
        <v>14160000</v>
      </c>
      <c r="F160" s="157">
        <v>4602576.4000000004</v>
      </c>
      <c r="G160" s="157">
        <v>0</v>
      </c>
      <c r="H160" s="157">
        <v>0</v>
      </c>
      <c r="I160" s="157">
        <v>0</v>
      </c>
      <c r="J160" s="157">
        <v>0</v>
      </c>
      <c r="K160" s="157">
        <v>0</v>
      </c>
      <c r="L160" s="157">
        <v>0</v>
      </c>
      <c r="M160" s="157">
        <v>0</v>
      </c>
      <c r="N160" s="157">
        <v>37074.629999999997</v>
      </c>
      <c r="O160" s="157">
        <v>110221.08</v>
      </c>
      <c r="P160" s="157">
        <v>68298.78</v>
      </c>
      <c r="Q160" s="157">
        <v>27373.27</v>
      </c>
      <c r="R160" s="157">
        <v>128791.95</v>
      </c>
      <c r="S160" s="157">
        <v>135615.04000000001</v>
      </c>
      <c r="T160" s="157">
        <v>7096.08</v>
      </c>
      <c r="U160" s="157">
        <v>7096.08</v>
      </c>
      <c r="V160" s="314"/>
      <c r="W160" s="333" t="s">
        <v>389</v>
      </c>
      <c r="X160" s="334" t="s">
        <v>468</v>
      </c>
      <c r="Y160" s="335">
        <v>86</v>
      </c>
      <c r="Z160" s="336">
        <v>7096.08</v>
      </c>
      <c r="AA160" s="336">
        <v>0</v>
      </c>
      <c r="AB160" s="336">
        <v>7096.08</v>
      </c>
      <c r="AC160" s="336">
        <v>7096.08</v>
      </c>
      <c r="AD160" s="336">
        <v>0</v>
      </c>
      <c r="AE160" s="336">
        <v>7096.08</v>
      </c>
      <c r="AF160"/>
      <c r="AG160"/>
    </row>
    <row r="161" spans="1:33" ht="12" x14ac:dyDescent="0.2">
      <c r="A161" s="156" t="s">
        <v>390</v>
      </c>
      <c r="B161" s="156" t="s">
        <v>469</v>
      </c>
      <c r="C161" s="156">
        <v>87</v>
      </c>
      <c r="D161" s="157">
        <v>13710000</v>
      </c>
      <c r="E161" s="157">
        <v>14160000</v>
      </c>
      <c r="F161" s="157">
        <v>4602576.4000000004</v>
      </c>
      <c r="G161" s="157">
        <v>0</v>
      </c>
      <c r="H161" s="157">
        <v>0</v>
      </c>
      <c r="I161" s="157">
        <v>0</v>
      </c>
      <c r="J161" s="157">
        <v>0</v>
      </c>
      <c r="K161" s="157">
        <v>0</v>
      </c>
      <c r="L161" s="157">
        <v>0</v>
      </c>
      <c r="M161" s="157">
        <v>0</v>
      </c>
      <c r="N161" s="157">
        <v>0</v>
      </c>
      <c r="O161" s="157">
        <v>0</v>
      </c>
      <c r="P161" s="157">
        <v>0</v>
      </c>
      <c r="Q161" s="157">
        <v>0</v>
      </c>
      <c r="R161" s="157">
        <v>0</v>
      </c>
      <c r="S161" s="157">
        <v>0</v>
      </c>
      <c r="T161" s="157">
        <v>0</v>
      </c>
      <c r="U161" s="157">
        <v>0</v>
      </c>
      <c r="V161" s="314"/>
      <c r="W161" s="329" t="s">
        <v>390</v>
      </c>
      <c r="X161" s="330" t="s">
        <v>469</v>
      </c>
      <c r="Y161" s="331">
        <v>87</v>
      </c>
      <c r="Z161" s="332">
        <v>0</v>
      </c>
      <c r="AA161" s="332">
        <v>0</v>
      </c>
      <c r="AB161" s="332">
        <v>0</v>
      </c>
      <c r="AC161" s="332">
        <v>0</v>
      </c>
      <c r="AD161" s="332">
        <v>0</v>
      </c>
      <c r="AE161" s="332">
        <v>0</v>
      </c>
      <c r="AF161"/>
      <c r="AG161"/>
    </row>
    <row r="162" spans="1:33" ht="12" x14ac:dyDescent="0.2">
      <c r="A162" s="156" t="s">
        <v>51</v>
      </c>
      <c r="B162" s="156" t="s">
        <v>470</v>
      </c>
      <c r="C162" s="156">
        <v>88</v>
      </c>
      <c r="D162" s="157"/>
      <c r="E162" s="157"/>
      <c r="F162" s="157">
        <v>0</v>
      </c>
      <c r="G162" s="157">
        <v>0</v>
      </c>
      <c r="H162" s="157">
        <v>0</v>
      </c>
      <c r="I162" s="157">
        <v>0</v>
      </c>
      <c r="J162" s="157">
        <v>0</v>
      </c>
      <c r="K162" s="157">
        <v>0</v>
      </c>
      <c r="L162" s="157">
        <v>0</v>
      </c>
      <c r="M162" s="157">
        <v>0</v>
      </c>
      <c r="N162" s="157">
        <v>0</v>
      </c>
      <c r="O162" s="157">
        <v>0</v>
      </c>
      <c r="P162" s="157">
        <v>0</v>
      </c>
      <c r="Q162" s="157">
        <v>0</v>
      </c>
      <c r="R162" s="157">
        <v>0</v>
      </c>
      <c r="S162" s="157">
        <v>0</v>
      </c>
      <c r="T162" s="157">
        <v>0</v>
      </c>
      <c r="U162" s="157">
        <v>0</v>
      </c>
      <c r="V162" s="314"/>
      <c r="W162" s="333">
        <v>2</v>
      </c>
      <c r="X162" s="334" t="s">
        <v>470</v>
      </c>
      <c r="Y162" s="335">
        <v>88</v>
      </c>
      <c r="Z162" s="336">
        <v>0</v>
      </c>
      <c r="AA162" s="336">
        <v>0</v>
      </c>
      <c r="AB162" s="336">
        <v>0</v>
      </c>
      <c r="AC162" s="336">
        <v>0</v>
      </c>
      <c r="AD162" s="336">
        <v>0</v>
      </c>
      <c r="AE162" s="336">
        <v>0</v>
      </c>
      <c r="AF162"/>
      <c r="AG162"/>
    </row>
    <row r="163" spans="1:33" ht="12" x14ac:dyDescent="0.2">
      <c r="A163" s="156" t="s">
        <v>52</v>
      </c>
      <c r="B163" s="156" t="s">
        <v>471</v>
      </c>
      <c r="C163" s="156">
        <v>89</v>
      </c>
      <c r="D163" s="157"/>
      <c r="E163" s="157"/>
      <c r="F163" s="157">
        <v>0</v>
      </c>
      <c r="G163" s="157">
        <v>0</v>
      </c>
      <c r="H163" s="157">
        <v>0</v>
      </c>
      <c r="I163" s="157">
        <v>0</v>
      </c>
      <c r="J163" s="157">
        <v>0</v>
      </c>
      <c r="K163" s="157">
        <v>0</v>
      </c>
      <c r="L163" s="157">
        <v>0</v>
      </c>
      <c r="M163" s="157">
        <v>0</v>
      </c>
      <c r="N163" s="157">
        <v>0</v>
      </c>
      <c r="O163" s="157">
        <v>0</v>
      </c>
      <c r="P163" s="157">
        <v>0</v>
      </c>
      <c r="Q163" s="157">
        <v>0</v>
      </c>
      <c r="R163" s="157">
        <v>0</v>
      </c>
      <c r="S163" s="157">
        <v>0</v>
      </c>
      <c r="T163" s="157">
        <v>0</v>
      </c>
      <c r="U163" s="157">
        <v>0</v>
      </c>
      <c r="V163" s="314"/>
      <c r="W163" s="329">
        <v>3</v>
      </c>
      <c r="X163" s="330" t="s">
        <v>471</v>
      </c>
      <c r="Y163" s="331">
        <v>89</v>
      </c>
      <c r="Z163" s="332">
        <v>0</v>
      </c>
      <c r="AA163" s="332">
        <v>0</v>
      </c>
      <c r="AB163" s="332">
        <v>0</v>
      </c>
      <c r="AC163" s="332">
        <v>0</v>
      </c>
      <c r="AD163" s="332">
        <v>0</v>
      </c>
      <c r="AE163" s="332">
        <v>0</v>
      </c>
      <c r="AF163"/>
      <c r="AG163"/>
    </row>
    <row r="164" spans="1:33" ht="12" x14ac:dyDescent="0.2">
      <c r="A164" s="156" t="s">
        <v>54</v>
      </c>
      <c r="B164" s="156" t="s">
        <v>94</v>
      </c>
      <c r="C164" s="156">
        <v>90</v>
      </c>
      <c r="D164" s="157"/>
      <c r="E164" s="157"/>
      <c r="F164" s="157">
        <v>0</v>
      </c>
      <c r="G164" s="157">
        <v>0</v>
      </c>
      <c r="H164" s="157">
        <v>0</v>
      </c>
      <c r="I164" s="157">
        <v>0</v>
      </c>
      <c r="J164" s="157">
        <v>0</v>
      </c>
      <c r="K164" s="157">
        <v>0</v>
      </c>
      <c r="L164" s="157">
        <v>0</v>
      </c>
      <c r="M164" s="157">
        <v>0</v>
      </c>
      <c r="N164" s="157">
        <v>37074.629999999997</v>
      </c>
      <c r="O164" s="157">
        <v>110221.08</v>
      </c>
      <c r="P164" s="157">
        <v>68298.78</v>
      </c>
      <c r="Q164" s="157">
        <v>27373.27</v>
      </c>
      <c r="R164" s="157">
        <v>128791.95</v>
      </c>
      <c r="S164" s="157">
        <v>135615.04000000001</v>
      </c>
      <c r="T164" s="157">
        <v>7096.08</v>
      </c>
      <c r="U164" s="157">
        <v>7096.08</v>
      </c>
      <c r="V164" s="314"/>
      <c r="W164" s="333">
        <v>4</v>
      </c>
      <c r="X164" s="334" t="s">
        <v>94</v>
      </c>
      <c r="Y164" s="335">
        <v>90</v>
      </c>
      <c r="Z164" s="336">
        <v>7096.08</v>
      </c>
      <c r="AA164" s="336">
        <v>0</v>
      </c>
      <c r="AB164" s="336">
        <v>7096.08</v>
      </c>
      <c r="AC164" s="336">
        <v>7096.08</v>
      </c>
      <c r="AD164" s="336">
        <v>0</v>
      </c>
      <c r="AE164" s="336">
        <v>7096.08</v>
      </c>
      <c r="AF164"/>
      <c r="AG164"/>
    </row>
    <row r="165" spans="1:33" ht="12" x14ac:dyDescent="0.2">
      <c r="A165" s="156" t="s">
        <v>400</v>
      </c>
      <c r="B165" s="156" t="s">
        <v>95</v>
      </c>
      <c r="C165" s="156">
        <v>91</v>
      </c>
      <c r="D165" s="157"/>
      <c r="E165" s="157"/>
      <c r="F165" s="157">
        <v>5692833.7300000004</v>
      </c>
      <c r="G165" s="157">
        <v>5525888.8200000003</v>
      </c>
      <c r="H165" s="157">
        <v>3633207.6</v>
      </c>
      <c r="I165" s="157">
        <v>32981705.609999999</v>
      </c>
      <c r="J165" s="157">
        <v>9578343.9000000004</v>
      </c>
      <c r="K165" s="157">
        <v>1841673.63</v>
      </c>
      <c r="L165" s="157">
        <v>38480411.590000004</v>
      </c>
      <c r="M165" s="157">
        <v>80603409.010000005</v>
      </c>
      <c r="N165" s="157">
        <v>41239566</v>
      </c>
      <c r="O165" s="157">
        <v>17274084.629999999</v>
      </c>
      <c r="P165" s="157">
        <v>11132240.17</v>
      </c>
      <c r="Q165" s="157">
        <v>5270018.83</v>
      </c>
      <c r="R165" s="157">
        <v>0</v>
      </c>
      <c r="S165" s="157">
        <v>7976982.04</v>
      </c>
      <c r="T165" s="157">
        <v>5745705.5300000003</v>
      </c>
      <c r="U165" s="157">
        <v>3464811.58</v>
      </c>
      <c r="V165" s="314"/>
      <c r="W165" s="329" t="s">
        <v>400</v>
      </c>
      <c r="X165" s="330" t="s">
        <v>95</v>
      </c>
      <c r="Y165" s="331">
        <v>91</v>
      </c>
      <c r="Z165" s="332">
        <v>3464811.58</v>
      </c>
      <c r="AA165" s="332">
        <v>0</v>
      </c>
      <c r="AB165" s="332">
        <v>3464811.58</v>
      </c>
      <c r="AC165" s="332">
        <v>5745705.5300000003</v>
      </c>
      <c r="AD165" s="332">
        <v>0</v>
      </c>
      <c r="AE165" s="332">
        <v>5745705.5300000003</v>
      </c>
      <c r="AF165"/>
      <c r="AG165"/>
    </row>
    <row r="166" spans="1:33" ht="12" x14ac:dyDescent="0.2">
      <c r="A166" s="156" t="s">
        <v>401</v>
      </c>
      <c r="B166" s="156" t="s">
        <v>472</v>
      </c>
      <c r="C166" s="156">
        <v>92</v>
      </c>
      <c r="D166" s="157"/>
      <c r="E166" s="157"/>
      <c r="F166" s="157">
        <v>0</v>
      </c>
      <c r="G166" s="157">
        <v>0</v>
      </c>
      <c r="H166" s="157">
        <v>0</v>
      </c>
      <c r="I166" s="157">
        <v>0</v>
      </c>
      <c r="J166" s="157">
        <v>0</v>
      </c>
      <c r="K166" s="157">
        <v>0</v>
      </c>
      <c r="L166" s="157">
        <v>0</v>
      </c>
      <c r="M166" s="157">
        <v>0</v>
      </c>
      <c r="N166" s="157">
        <v>0</v>
      </c>
      <c r="O166" s="157">
        <v>0</v>
      </c>
      <c r="P166" s="157">
        <v>0</v>
      </c>
      <c r="Q166" s="157">
        <v>0</v>
      </c>
      <c r="R166" s="157">
        <v>0</v>
      </c>
      <c r="S166" s="157">
        <v>0</v>
      </c>
      <c r="T166" s="157">
        <v>0</v>
      </c>
      <c r="U166" s="157">
        <v>0</v>
      </c>
      <c r="V166" s="314"/>
      <c r="W166" s="333" t="s">
        <v>401</v>
      </c>
      <c r="X166" s="334" t="s">
        <v>472</v>
      </c>
      <c r="Y166" s="335">
        <v>92</v>
      </c>
      <c r="Z166" s="336">
        <v>0</v>
      </c>
      <c r="AA166" s="336">
        <v>0</v>
      </c>
      <c r="AB166" s="336">
        <v>0</v>
      </c>
      <c r="AC166" s="336">
        <v>0</v>
      </c>
      <c r="AD166" s="336">
        <v>0</v>
      </c>
      <c r="AE166" s="336">
        <v>0</v>
      </c>
      <c r="AF166"/>
      <c r="AG166"/>
    </row>
    <row r="167" spans="1:33" ht="12" x14ac:dyDescent="0.2">
      <c r="A167" s="156" t="s">
        <v>51</v>
      </c>
      <c r="B167" s="156" t="s">
        <v>473</v>
      </c>
      <c r="C167" s="156">
        <v>93</v>
      </c>
      <c r="D167" s="157"/>
      <c r="E167" s="157"/>
      <c r="F167" s="157">
        <v>0</v>
      </c>
      <c r="G167" s="157">
        <v>0</v>
      </c>
      <c r="H167" s="157">
        <v>0</v>
      </c>
      <c r="I167" s="157">
        <v>0</v>
      </c>
      <c r="J167" s="157">
        <v>0</v>
      </c>
      <c r="K167" s="157">
        <v>0</v>
      </c>
      <c r="L167" s="157">
        <v>0</v>
      </c>
      <c r="M167" s="157">
        <v>0</v>
      </c>
      <c r="N167" s="157">
        <v>0</v>
      </c>
      <c r="O167" s="157">
        <v>0</v>
      </c>
      <c r="P167" s="157">
        <v>0</v>
      </c>
      <c r="Q167" s="157">
        <v>0</v>
      </c>
      <c r="R167" s="157">
        <v>0</v>
      </c>
      <c r="S167" s="157">
        <v>0</v>
      </c>
      <c r="T167" s="157">
        <v>0</v>
      </c>
      <c r="U167" s="157">
        <v>0</v>
      </c>
      <c r="V167" s="314"/>
      <c r="W167" s="329">
        <v>2</v>
      </c>
      <c r="X167" s="330" t="s">
        <v>473</v>
      </c>
      <c r="Y167" s="331">
        <v>93</v>
      </c>
      <c r="Z167" s="332">
        <v>0</v>
      </c>
      <c r="AA167" s="332">
        <v>0</v>
      </c>
      <c r="AB167" s="332">
        <v>0</v>
      </c>
      <c r="AC167" s="332">
        <v>0</v>
      </c>
      <c r="AD167" s="332">
        <v>0</v>
      </c>
      <c r="AE167" s="332">
        <v>0</v>
      </c>
      <c r="AF167"/>
      <c r="AG167"/>
    </row>
    <row r="168" spans="1:33" ht="12" x14ac:dyDescent="0.2">
      <c r="A168" s="156" t="s">
        <v>52</v>
      </c>
      <c r="B168" s="156" t="s">
        <v>474</v>
      </c>
      <c r="C168" s="156">
        <v>94</v>
      </c>
      <c r="D168" s="157"/>
      <c r="E168" s="157"/>
      <c r="F168" s="157">
        <v>0</v>
      </c>
      <c r="G168" s="157">
        <v>0</v>
      </c>
      <c r="H168" s="157">
        <v>0</v>
      </c>
      <c r="I168" s="157">
        <v>0</v>
      </c>
      <c r="J168" s="157">
        <v>0</v>
      </c>
      <c r="K168" s="157">
        <v>0</v>
      </c>
      <c r="L168" s="157">
        <v>0</v>
      </c>
      <c r="M168" s="157">
        <v>0</v>
      </c>
      <c r="N168" s="157">
        <v>0</v>
      </c>
      <c r="O168" s="157">
        <v>0</v>
      </c>
      <c r="P168" s="157">
        <v>0</v>
      </c>
      <c r="Q168" s="157">
        <v>0</v>
      </c>
      <c r="R168" s="157">
        <v>0</v>
      </c>
      <c r="S168" s="157">
        <v>0</v>
      </c>
      <c r="T168" s="157">
        <v>0</v>
      </c>
      <c r="U168" s="157">
        <v>0</v>
      </c>
      <c r="V168" s="314"/>
      <c r="W168" s="333">
        <v>3</v>
      </c>
      <c r="X168" s="334" t="s">
        <v>474</v>
      </c>
      <c r="Y168" s="335">
        <v>94</v>
      </c>
      <c r="Z168" s="336">
        <v>0</v>
      </c>
      <c r="AA168" s="336">
        <v>0</v>
      </c>
      <c r="AB168" s="336">
        <v>0</v>
      </c>
      <c r="AC168" s="336">
        <v>0</v>
      </c>
      <c r="AD168" s="336">
        <v>0</v>
      </c>
      <c r="AE168" s="336">
        <v>0</v>
      </c>
      <c r="AF168"/>
      <c r="AG168"/>
    </row>
    <row r="169" spans="1:33" ht="12" x14ac:dyDescent="0.2">
      <c r="A169" s="156" t="s">
        <v>54</v>
      </c>
      <c r="B169" s="156" t="s">
        <v>475</v>
      </c>
      <c r="C169" s="156">
        <v>95</v>
      </c>
      <c r="D169" s="157"/>
      <c r="E169" s="157"/>
      <c r="F169" s="157">
        <v>0</v>
      </c>
      <c r="G169" s="157">
        <v>0</v>
      </c>
      <c r="H169" s="157">
        <v>0</v>
      </c>
      <c r="I169" s="157">
        <v>0</v>
      </c>
      <c r="J169" s="157">
        <v>0</v>
      </c>
      <c r="K169" s="157">
        <v>0</v>
      </c>
      <c r="L169" s="157">
        <v>0</v>
      </c>
      <c r="M169" s="157">
        <v>0</v>
      </c>
      <c r="N169" s="157">
        <v>0</v>
      </c>
      <c r="O169" s="157">
        <v>0</v>
      </c>
      <c r="P169" s="157">
        <v>0</v>
      </c>
      <c r="Q169" s="157">
        <v>0</v>
      </c>
      <c r="R169" s="157">
        <v>0</v>
      </c>
      <c r="S169" s="157">
        <v>0</v>
      </c>
      <c r="T169" s="157">
        <v>0</v>
      </c>
      <c r="U169" s="157">
        <v>0</v>
      </c>
      <c r="V169" s="314"/>
      <c r="W169" s="329">
        <v>4</v>
      </c>
      <c r="X169" s="330" t="s">
        <v>475</v>
      </c>
      <c r="Y169" s="331">
        <v>95</v>
      </c>
      <c r="Z169" s="332">
        <v>0</v>
      </c>
      <c r="AA169" s="332">
        <v>0</v>
      </c>
      <c r="AB169" s="332">
        <v>0</v>
      </c>
      <c r="AC169" s="332">
        <v>0</v>
      </c>
      <c r="AD169" s="332">
        <v>0</v>
      </c>
      <c r="AE169" s="332">
        <v>0</v>
      </c>
      <c r="AF169"/>
      <c r="AG169"/>
    </row>
    <row r="170" spans="1:33" ht="12" x14ac:dyDescent="0.2">
      <c r="A170" s="156" t="s">
        <v>56</v>
      </c>
      <c r="B170" s="156" t="s">
        <v>476</v>
      </c>
      <c r="C170" s="156">
        <v>96</v>
      </c>
      <c r="D170" s="157"/>
      <c r="E170" s="157"/>
      <c r="F170" s="157">
        <v>0</v>
      </c>
      <c r="G170" s="157">
        <v>0</v>
      </c>
      <c r="H170" s="157">
        <v>0</v>
      </c>
      <c r="I170" s="157">
        <v>0</v>
      </c>
      <c r="J170" s="157">
        <v>0</v>
      </c>
      <c r="K170" s="157">
        <v>0</v>
      </c>
      <c r="L170" s="157">
        <v>0</v>
      </c>
      <c r="M170" s="157">
        <v>0</v>
      </c>
      <c r="N170" s="157">
        <v>0</v>
      </c>
      <c r="O170" s="157">
        <v>0</v>
      </c>
      <c r="P170" s="157">
        <v>0</v>
      </c>
      <c r="Q170" s="157">
        <v>0</v>
      </c>
      <c r="R170" s="157">
        <v>0</v>
      </c>
      <c r="S170" s="157">
        <v>0</v>
      </c>
      <c r="T170" s="157">
        <v>0</v>
      </c>
      <c r="U170" s="157">
        <v>0</v>
      </c>
      <c r="V170" s="314"/>
      <c r="W170" s="333">
        <v>5</v>
      </c>
      <c r="X170" s="334" t="s">
        <v>476</v>
      </c>
      <c r="Y170" s="335">
        <v>96</v>
      </c>
      <c r="Z170" s="336">
        <v>0</v>
      </c>
      <c r="AA170" s="336">
        <v>0</v>
      </c>
      <c r="AB170" s="336">
        <v>0</v>
      </c>
      <c r="AC170" s="336">
        <v>0</v>
      </c>
      <c r="AD170" s="336">
        <v>0</v>
      </c>
      <c r="AE170" s="336">
        <v>0</v>
      </c>
      <c r="AF170"/>
      <c r="AG170"/>
    </row>
    <row r="171" spans="1:33" ht="12" x14ac:dyDescent="0.2">
      <c r="A171" s="156" t="s">
        <v>279</v>
      </c>
      <c r="B171" s="156" t="s">
        <v>477</v>
      </c>
      <c r="C171" s="156">
        <v>97</v>
      </c>
      <c r="D171" s="157"/>
      <c r="E171" s="157"/>
      <c r="F171" s="157">
        <v>0</v>
      </c>
      <c r="G171" s="157">
        <v>0</v>
      </c>
      <c r="H171" s="157">
        <v>0</v>
      </c>
      <c r="I171" s="157">
        <v>0</v>
      </c>
      <c r="J171" s="157">
        <v>0</v>
      </c>
      <c r="K171" s="157">
        <v>0</v>
      </c>
      <c r="L171" s="157">
        <v>0</v>
      </c>
      <c r="M171" s="157">
        <v>0</v>
      </c>
      <c r="N171" s="157">
        <v>0</v>
      </c>
      <c r="O171" s="157">
        <v>0</v>
      </c>
      <c r="P171" s="157">
        <v>0</v>
      </c>
      <c r="Q171" s="157">
        <v>0</v>
      </c>
      <c r="R171" s="157">
        <v>0</v>
      </c>
      <c r="S171" s="157">
        <v>0</v>
      </c>
      <c r="T171" s="157">
        <v>0</v>
      </c>
      <c r="U171" s="157">
        <v>0</v>
      </c>
      <c r="V171" s="314"/>
      <c r="W171" s="329">
        <v>6</v>
      </c>
      <c r="X171" s="330" t="s">
        <v>477</v>
      </c>
      <c r="Y171" s="331">
        <v>97</v>
      </c>
      <c r="Z171" s="332">
        <v>0</v>
      </c>
      <c r="AA171" s="332">
        <v>0</v>
      </c>
      <c r="AB171" s="332">
        <v>0</v>
      </c>
      <c r="AC171" s="332">
        <v>0</v>
      </c>
      <c r="AD171" s="332">
        <v>0</v>
      </c>
      <c r="AE171" s="332">
        <v>0</v>
      </c>
      <c r="AF171"/>
      <c r="AG171"/>
    </row>
    <row r="172" spans="1:33" ht="12" x14ac:dyDescent="0.2">
      <c r="A172" s="156" t="s">
        <v>58</v>
      </c>
      <c r="B172" s="156" t="s">
        <v>478</v>
      </c>
      <c r="C172" s="156">
        <v>98</v>
      </c>
      <c r="D172" s="157"/>
      <c r="E172" s="157"/>
      <c r="F172" s="157">
        <v>0</v>
      </c>
      <c r="G172" s="157">
        <v>0</v>
      </c>
      <c r="H172" s="157">
        <v>0</v>
      </c>
      <c r="I172" s="157">
        <v>0</v>
      </c>
      <c r="J172" s="157">
        <v>0</v>
      </c>
      <c r="K172" s="157">
        <v>0</v>
      </c>
      <c r="L172" s="157">
        <v>0</v>
      </c>
      <c r="M172" s="157">
        <v>0</v>
      </c>
      <c r="N172" s="157">
        <v>0</v>
      </c>
      <c r="O172" s="157">
        <v>0</v>
      </c>
      <c r="P172" s="157">
        <v>0</v>
      </c>
      <c r="Q172" s="157">
        <v>0</v>
      </c>
      <c r="R172" s="157">
        <v>0</v>
      </c>
      <c r="S172" s="157">
        <v>0</v>
      </c>
      <c r="T172" s="157">
        <v>0</v>
      </c>
      <c r="U172" s="157">
        <v>0</v>
      </c>
      <c r="V172" s="314"/>
      <c r="W172" s="333">
        <v>7</v>
      </c>
      <c r="X172" s="334" t="s">
        <v>478</v>
      </c>
      <c r="Y172" s="335">
        <v>98</v>
      </c>
      <c r="Z172" s="336">
        <v>0</v>
      </c>
      <c r="AA172" s="336">
        <v>0</v>
      </c>
      <c r="AB172" s="336">
        <v>0</v>
      </c>
      <c r="AC172" s="336">
        <v>0</v>
      </c>
      <c r="AD172" s="336">
        <v>0</v>
      </c>
      <c r="AE172" s="336">
        <v>0</v>
      </c>
      <c r="AF172"/>
      <c r="AG172"/>
    </row>
    <row r="173" spans="1:33" ht="12" x14ac:dyDescent="0.2">
      <c r="A173" s="156" t="s">
        <v>398</v>
      </c>
      <c r="B173" s="156" t="s">
        <v>479</v>
      </c>
      <c r="C173" s="156">
        <v>99</v>
      </c>
      <c r="D173" s="157"/>
      <c r="E173" s="157"/>
      <c r="F173" s="157">
        <v>0</v>
      </c>
      <c r="G173" s="157">
        <v>0</v>
      </c>
      <c r="H173" s="157">
        <v>0</v>
      </c>
      <c r="I173" s="157">
        <v>0</v>
      </c>
      <c r="J173" s="157">
        <v>0</v>
      </c>
      <c r="K173" s="157">
        <v>0</v>
      </c>
      <c r="L173" s="157">
        <v>0</v>
      </c>
      <c r="M173" s="157">
        <v>0</v>
      </c>
      <c r="N173" s="157">
        <v>0</v>
      </c>
      <c r="O173" s="157">
        <v>0</v>
      </c>
      <c r="P173" s="157">
        <v>0</v>
      </c>
      <c r="Q173" s="157">
        <v>0</v>
      </c>
      <c r="R173" s="157">
        <v>0</v>
      </c>
      <c r="S173" s="157">
        <v>0</v>
      </c>
      <c r="T173" s="157">
        <v>0</v>
      </c>
      <c r="U173" s="157">
        <v>0</v>
      </c>
      <c r="V173" s="314"/>
      <c r="W173" s="329">
        <v>8</v>
      </c>
      <c r="X173" s="330" t="s">
        <v>479</v>
      </c>
      <c r="Y173" s="331">
        <v>99</v>
      </c>
      <c r="Z173" s="332">
        <v>0</v>
      </c>
      <c r="AA173" s="332">
        <v>0</v>
      </c>
      <c r="AB173" s="332">
        <v>0</v>
      </c>
      <c r="AC173" s="332">
        <v>0</v>
      </c>
      <c r="AD173" s="332">
        <v>0</v>
      </c>
      <c r="AE173" s="332">
        <v>0</v>
      </c>
      <c r="AF173"/>
      <c r="AG173"/>
    </row>
    <row r="174" spans="1:33" ht="12" x14ac:dyDescent="0.2">
      <c r="A174" s="156" t="s">
        <v>404</v>
      </c>
      <c r="B174" s="156" t="s">
        <v>100</v>
      </c>
      <c r="C174" s="156">
        <v>100</v>
      </c>
      <c r="D174" s="157"/>
      <c r="E174" s="157"/>
      <c r="F174" s="157">
        <v>5692833.7300000004</v>
      </c>
      <c r="G174" s="157">
        <v>5525888.8200000003</v>
      </c>
      <c r="H174" s="157">
        <v>3633207.6</v>
      </c>
      <c r="I174" s="157">
        <v>32981705.609999999</v>
      </c>
      <c r="J174" s="157">
        <v>9578343.9000000004</v>
      </c>
      <c r="K174" s="157">
        <v>1841673.63</v>
      </c>
      <c r="L174" s="157">
        <v>38480411.590000004</v>
      </c>
      <c r="M174" s="157">
        <v>80603409.010000005</v>
      </c>
      <c r="N174" s="157">
        <v>4094492.1</v>
      </c>
      <c r="O174" s="157">
        <v>17274084.629999999</v>
      </c>
      <c r="P174" s="157">
        <v>11132240.17</v>
      </c>
      <c r="Q174" s="157">
        <v>5270018.83</v>
      </c>
      <c r="R174" s="157">
        <v>0</v>
      </c>
      <c r="S174" s="157">
        <v>7976982.04</v>
      </c>
      <c r="T174" s="157">
        <v>5745705.5300000003</v>
      </c>
      <c r="U174" s="157">
        <v>3464811.58</v>
      </c>
      <c r="V174" s="314"/>
      <c r="W174" s="333">
        <v>9</v>
      </c>
      <c r="X174" s="334" t="s">
        <v>100</v>
      </c>
      <c r="Y174" s="335">
        <v>100</v>
      </c>
      <c r="Z174" s="336">
        <v>3464811.58</v>
      </c>
      <c r="AA174" s="336">
        <v>0</v>
      </c>
      <c r="AB174" s="336">
        <v>3464811.58</v>
      </c>
      <c r="AC174" s="336">
        <v>5745705.5300000003</v>
      </c>
      <c r="AD174" s="336">
        <v>0</v>
      </c>
      <c r="AE174" s="336">
        <v>5745705.5300000003</v>
      </c>
      <c r="AF174"/>
      <c r="AG174"/>
    </row>
    <row r="175" spans="1:33" ht="12" x14ac:dyDescent="0.2">
      <c r="A175" s="156" t="s">
        <v>480</v>
      </c>
      <c r="B175" s="156" t="s">
        <v>215</v>
      </c>
      <c r="C175" s="156">
        <v>101</v>
      </c>
      <c r="D175" s="157"/>
      <c r="E175" s="157"/>
      <c r="F175" s="157">
        <v>0</v>
      </c>
      <c r="G175" s="157">
        <v>0</v>
      </c>
      <c r="H175" s="157">
        <v>0</v>
      </c>
      <c r="I175" s="157">
        <v>0</v>
      </c>
      <c r="J175" s="157">
        <v>0</v>
      </c>
      <c r="K175" s="157">
        <v>0</v>
      </c>
      <c r="L175" s="157">
        <v>0</v>
      </c>
      <c r="M175" s="157">
        <v>0</v>
      </c>
      <c r="N175" s="157">
        <v>10344</v>
      </c>
      <c r="O175" s="157">
        <v>0</v>
      </c>
      <c r="P175" s="157">
        <v>0</v>
      </c>
      <c r="Q175" s="157">
        <v>0</v>
      </c>
      <c r="R175" s="157">
        <v>0</v>
      </c>
      <c r="S175" s="157">
        <v>0</v>
      </c>
      <c r="T175" s="157">
        <v>0</v>
      </c>
      <c r="U175" s="157">
        <v>0</v>
      </c>
      <c r="V175" s="314"/>
      <c r="W175" s="329">
        <v>10</v>
      </c>
      <c r="X175" s="330" t="s">
        <v>215</v>
      </c>
      <c r="Y175" s="331">
        <v>101</v>
      </c>
      <c r="Z175" s="332">
        <v>0</v>
      </c>
      <c r="AA175" s="332">
        <v>0</v>
      </c>
      <c r="AB175" s="332">
        <v>0</v>
      </c>
      <c r="AC175" s="332">
        <v>0</v>
      </c>
      <c r="AD175" s="332">
        <v>0</v>
      </c>
      <c r="AE175" s="332">
        <v>0</v>
      </c>
      <c r="AF175"/>
      <c r="AG175"/>
    </row>
    <row r="176" spans="1:33" ht="12" x14ac:dyDescent="0.2">
      <c r="A176" s="156" t="s">
        <v>406</v>
      </c>
      <c r="B176" s="156" t="s">
        <v>96</v>
      </c>
      <c r="C176" s="156">
        <v>102</v>
      </c>
      <c r="D176" s="157">
        <v>30703000</v>
      </c>
      <c r="E176" s="157">
        <v>41534000</v>
      </c>
      <c r="F176" s="157">
        <v>47700929.719999999</v>
      </c>
      <c r="G176" s="157">
        <v>53807147.899999999</v>
      </c>
      <c r="H176" s="157">
        <v>58229237.909999996</v>
      </c>
      <c r="I176" s="157">
        <v>56239821.32</v>
      </c>
      <c r="J176" s="157">
        <v>60315105.969999999</v>
      </c>
      <c r="K176" s="157">
        <v>54089444.659999996</v>
      </c>
      <c r="L176" s="157">
        <v>61389329.75</v>
      </c>
      <c r="M176" s="157">
        <v>63391139.219999999</v>
      </c>
      <c r="N176" s="157">
        <v>69011341.760000005</v>
      </c>
      <c r="O176" s="157">
        <v>58047353.140000001</v>
      </c>
      <c r="P176" s="157">
        <v>37151282.600000001</v>
      </c>
      <c r="Q176" s="157">
        <v>28876846.420000002</v>
      </c>
      <c r="R176" s="157">
        <v>36198934.880000003</v>
      </c>
      <c r="S176" s="157">
        <v>28422023.039999999</v>
      </c>
      <c r="T176" s="157">
        <v>22722220.91</v>
      </c>
      <c r="U176" s="157">
        <v>12682911.060000001</v>
      </c>
      <c r="V176" s="314"/>
      <c r="W176" s="333" t="s">
        <v>406</v>
      </c>
      <c r="X176" s="334" t="s">
        <v>96</v>
      </c>
      <c r="Y176" s="335">
        <v>102</v>
      </c>
      <c r="Z176" s="336">
        <v>12682911.060000001</v>
      </c>
      <c r="AA176" s="336">
        <v>0</v>
      </c>
      <c r="AB176" s="336">
        <v>12682911.060000001</v>
      </c>
      <c r="AC176" s="336">
        <v>22722220.91</v>
      </c>
      <c r="AD176" s="336">
        <v>0</v>
      </c>
      <c r="AE176" s="336">
        <v>22722220.91</v>
      </c>
      <c r="AF176"/>
      <c r="AG176"/>
    </row>
    <row r="177" spans="1:33" ht="12" x14ac:dyDescent="0.2">
      <c r="A177" s="156" t="s">
        <v>408</v>
      </c>
      <c r="B177" s="156" t="s">
        <v>472</v>
      </c>
      <c r="C177" s="156">
        <v>103</v>
      </c>
      <c r="D177" s="157">
        <v>26465000</v>
      </c>
      <c r="E177" s="157">
        <v>30282000</v>
      </c>
      <c r="F177" s="157">
        <v>33358836.359999999</v>
      </c>
      <c r="G177" s="157">
        <v>35632436.700000003</v>
      </c>
      <c r="H177" s="157">
        <v>39014389.649999999</v>
      </c>
      <c r="I177" s="157">
        <v>46275173.920000002</v>
      </c>
      <c r="J177" s="157">
        <v>52412616.460000001</v>
      </c>
      <c r="K177" s="157">
        <v>35705661.060000002</v>
      </c>
      <c r="L177" s="157">
        <v>44190813.399999999</v>
      </c>
      <c r="M177" s="157">
        <v>50249558.270000003</v>
      </c>
      <c r="N177" s="157">
        <v>42617205.170000002</v>
      </c>
      <c r="O177" s="157">
        <v>41568106.340000004</v>
      </c>
      <c r="P177" s="157">
        <v>22217886.920000002</v>
      </c>
      <c r="Q177" s="157">
        <v>20394707.989999998</v>
      </c>
      <c r="R177" s="157">
        <v>24623069.629999999</v>
      </c>
      <c r="S177" s="157">
        <v>19161204.66</v>
      </c>
      <c r="T177" s="157">
        <v>13697449.529999999</v>
      </c>
      <c r="U177" s="157">
        <v>15871709.23</v>
      </c>
      <c r="V177" s="314"/>
      <c r="W177" s="329" t="s">
        <v>408</v>
      </c>
      <c r="X177" s="330" t="s">
        <v>472</v>
      </c>
      <c r="Y177" s="331">
        <v>103</v>
      </c>
      <c r="Z177" s="332">
        <v>15871709.23</v>
      </c>
      <c r="AA177" s="332">
        <v>0</v>
      </c>
      <c r="AB177" s="332">
        <v>15871709.23</v>
      </c>
      <c r="AC177" s="332">
        <v>13697449.529999999</v>
      </c>
      <c r="AD177" s="332">
        <v>0</v>
      </c>
      <c r="AE177" s="332">
        <v>13697449.529999999</v>
      </c>
      <c r="AF177"/>
      <c r="AG177"/>
    </row>
    <row r="178" spans="1:33" ht="12" x14ac:dyDescent="0.2">
      <c r="A178" s="156" t="s">
        <v>51</v>
      </c>
      <c r="B178" s="156" t="s">
        <v>473</v>
      </c>
      <c r="C178" s="156">
        <v>104</v>
      </c>
      <c r="D178" s="157"/>
      <c r="E178" s="157"/>
      <c r="F178" s="157">
        <v>0</v>
      </c>
      <c r="G178" s="157">
        <v>0</v>
      </c>
      <c r="H178" s="157">
        <v>0</v>
      </c>
      <c r="I178" s="157">
        <v>0</v>
      </c>
      <c r="J178" s="157">
        <v>0</v>
      </c>
      <c r="K178" s="157">
        <v>0</v>
      </c>
      <c r="L178" s="157">
        <v>0</v>
      </c>
      <c r="M178" s="157">
        <v>289114</v>
      </c>
      <c r="N178" s="157">
        <v>0</v>
      </c>
      <c r="O178" s="157">
        <v>0</v>
      </c>
      <c r="P178" s="157">
        <v>0</v>
      </c>
      <c r="Q178" s="157">
        <v>0</v>
      </c>
      <c r="R178" s="157">
        <v>0</v>
      </c>
      <c r="S178" s="157">
        <v>0</v>
      </c>
      <c r="T178" s="157">
        <v>0</v>
      </c>
      <c r="U178" s="157">
        <v>0</v>
      </c>
      <c r="V178" s="314"/>
      <c r="W178" s="333">
        <v>2</v>
      </c>
      <c r="X178" s="334" t="s">
        <v>473</v>
      </c>
      <c r="Y178" s="335">
        <v>104</v>
      </c>
      <c r="Z178" s="336">
        <v>0</v>
      </c>
      <c r="AA178" s="336">
        <v>0</v>
      </c>
      <c r="AB178" s="336">
        <v>0</v>
      </c>
      <c r="AC178" s="336">
        <v>0</v>
      </c>
      <c r="AD178" s="336">
        <v>0</v>
      </c>
      <c r="AE178" s="336">
        <v>0</v>
      </c>
      <c r="AF178"/>
      <c r="AG178"/>
    </row>
    <row r="179" spans="1:33" ht="12" x14ac:dyDescent="0.2">
      <c r="A179" s="156" t="s">
        <v>52</v>
      </c>
      <c r="B179" s="156" t="s">
        <v>474</v>
      </c>
      <c r="C179" s="156">
        <v>105</v>
      </c>
      <c r="D179" s="157"/>
      <c r="E179" s="157"/>
      <c r="F179" s="157">
        <v>0</v>
      </c>
      <c r="G179" s="157">
        <v>0</v>
      </c>
      <c r="H179" s="157">
        <v>0</v>
      </c>
      <c r="I179" s="157">
        <v>0</v>
      </c>
      <c r="J179" s="157">
        <v>0</v>
      </c>
      <c r="K179" s="157">
        <v>0</v>
      </c>
      <c r="L179" s="157">
        <v>0</v>
      </c>
      <c r="M179" s="157">
        <v>0</v>
      </c>
      <c r="N179" s="157">
        <v>0</v>
      </c>
      <c r="O179" s="157">
        <v>0</v>
      </c>
      <c r="P179" s="157">
        <v>0</v>
      </c>
      <c r="Q179" s="157">
        <v>0</v>
      </c>
      <c r="R179" s="157">
        <v>0</v>
      </c>
      <c r="S179" s="157">
        <v>0</v>
      </c>
      <c r="T179" s="157">
        <v>0</v>
      </c>
      <c r="U179" s="157">
        <v>0</v>
      </c>
      <c r="V179" s="314"/>
      <c r="W179" s="329">
        <v>3</v>
      </c>
      <c r="X179" s="330" t="s">
        <v>474</v>
      </c>
      <c r="Y179" s="331">
        <v>105</v>
      </c>
      <c r="Z179" s="332">
        <v>0</v>
      </c>
      <c r="AA179" s="332">
        <v>0</v>
      </c>
      <c r="AB179" s="332">
        <v>0</v>
      </c>
      <c r="AC179" s="332">
        <v>0</v>
      </c>
      <c r="AD179" s="332">
        <v>0</v>
      </c>
      <c r="AE179" s="332">
        <v>0</v>
      </c>
      <c r="AF179"/>
      <c r="AG179"/>
    </row>
    <row r="180" spans="1:33" ht="12" x14ac:dyDescent="0.2">
      <c r="A180" s="156" t="s">
        <v>54</v>
      </c>
      <c r="B180" s="156" t="s">
        <v>475</v>
      </c>
      <c r="C180" s="156">
        <v>106</v>
      </c>
      <c r="D180" s="157">
        <v>2776000</v>
      </c>
      <c r="E180" s="157">
        <v>5291000</v>
      </c>
      <c r="F180" s="157">
        <v>7596010</v>
      </c>
      <c r="G180" s="157">
        <v>11982750</v>
      </c>
      <c r="H180" s="157">
        <v>13914270</v>
      </c>
      <c r="I180" s="157">
        <v>1933930</v>
      </c>
      <c r="J180" s="157">
        <v>75655</v>
      </c>
      <c r="K180" s="157">
        <v>3848230</v>
      </c>
      <c r="L180" s="157">
        <v>48600</v>
      </c>
      <c r="M180" s="157">
        <v>52340</v>
      </c>
      <c r="N180" s="157">
        <v>14034079</v>
      </c>
      <c r="O180" s="157">
        <v>34978</v>
      </c>
      <c r="P180" s="157">
        <v>35451</v>
      </c>
      <c r="Q180" s="157">
        <v>39824</v>
      </c>
      <c r="R180" s="157">
        <v>16131</v>
      </c>
      <c r="S180" s="157">
        <v>28084</v>
      </c>
      <c r="T180" s="157">
        <v>33260</v>
      </c>
      <c r="U180" s="157">
        <v>0</v>
      </c>
      <c r="V180" s="314"/>
      <c r="W180" s="333">
        <v>4</v>
      </c>
      <c r="X180" s="334" t="s">
        <v>475</v>
      </c>
      <c r="Y180" s="335">
        <v>106</v>
      </c>
      <c r="Z180" s="336">
        <v>0</v>
      </c>
      <c r="AA180" s="336">
        <v>0</v>
      </c>
      <c r="AB180" s="336">
        <v>0</v>
      </c>
      <c r="AC180" s="336">
        <v>33260</v>
      </c>
      <c r="AD180" s="336">
        <v>0</v>
      </c>
      <c r="AE180" s="336">
        <v>33260</v>
      </c>
      <c r="AF180"/>
      <c r="AG180"/>
    </row>
    <row r="181" spans="1:33" ht="12" x14ac:dyDescent="0.2">
      <c r="A181" s="156" t="s">
        <v>56</v>
      </c>
      <c r="B181" s="156" t="s">
        <v>97</v>
      </c>
      <c r="C181" s="156">
        <v>107</v>
      </c>
      <c r="D181" s="157">
        <v>1169000</v>
      </c>
      <c r="E181" s="157">
        <v>2296000</v>
      </c>
      <c r="F181" s="157">
        <v>4497314</v>
      </c>
      <c r="G181" s="157">
        <v>5496938.4000000004</v>
      </c>
      <c r="H181" s="157">
        <v>4275131</v>
      </c>
      <c r="I181" s="157">
        <v>7042916</v>
      </c>
      <c r="J181" s="157">
        <v>5535873</v>
      </c>
      <c r="K181" s="157">
        <v>6047450</v>
      </c>
      <c r="L181" s="157">
        <v>6827634</v>
      </c>
      <c r="M181" s="157">
        <v>8095955.1100000003</v>
      </c>
      <c r="N181" s="157">
        <v>7529686.1900000004</v>
      </c>
      <c r="O181" s="157">
        <v>9246750</v>
      </c>
      <c r="P181" s="157">
        <v>10584589.6</v>
      </c>
      <c r="Q181" s="157">
        <v>6459952.2999999998</v>
      </c>
      <c r="R181" s="157">
        <v>8652277.6699999999</v>
      </c>
      <c r="S181" s="157">
        <v>7329977.25</v>
      </c>
      <c r="T181" s="157">
        <v>4705509.3499999996</v>
      </c>
      <c r="U181" s="157">
        <v>-3565506.65</v>
      </c>
      <c r="V181" s="314"/>
      <c r="W181" s="329">
        <v>5</v>
      </c>
      <c r="X181" s="330" t="s">
        <v>97</v>
      </c>
      <c r="Y181" s="331">
        <v>107</v>
      </c>
      <c r="Z181" s="332">
        <v>-3565506.65</v>
      </c>
      <c r="AA181" s="332">
        <v>0</v>
      </c>
      <c r="AB181" s="332">
        <v>-3565506.65</v>
      </c>
      <c r="AC181" s="332">
        <v>4705509.3499999996</v>
      </c>
      <c r="AD181" s="332">
        <v>0</v>
      </c>
      <c r="AE181" s="332">
        <v>4705509.3499999996</v>
      </c>
      <c r="AF181"/>
      <c r="AG181"/>
    </row>
    <row r="182" spans="1:33" ht="12" x14ac:dyDescent="0.2">
      <c r="A182" s="156" t="s">
        <v>279</v>
      </c>
      <c r="B182" s="156" t="s">
        <v>481</v>
      </c>
      <c r="C182" s="156">
        <v>108</v>
      </c>
      <c r="D182" s="157">
        <v>183000</v>
      </c>
      <c r="E182" s="157">
        <v>355000</v>
      </c>
      <c r="F182" s="157">
        <v>455651</v>
      </c>
      <c r="G182" s="157">
        <v>612223</v>
      </c>
      <c r="H182" s="157">
        <v>696907</v>
      </c>
      <c r="I182" s="157">
        <v>785704</v>
      </c>
      <c r="J182" s="157">
        <v>880715</v>
      </c>
      <c r="K182" s="157">
        <v>990223</v>
      </c>
      <c r="L182" s="157">
        <v>1049225</v>
      </c>
      <c r="M182" s="157">
        <v>1041416.58</v>
      </c>
      <c r="N182" s="157">
        <v>963687.9</v>
      </c>
      <c r="O182" s="157">
        <v>1156747.3799999999</v>
      </c>
      <c r="P182" s="157">
        <v>1201320.51</v>
      </c>
      <c r="Q182" s="157">
        <v>1264365.31</v>
      </c>
      <c r="R182" s="157">
        <v>2120201.5099999998</v>
      </c>
      <c r="S182" s="157">
        <v>1580455.43</v>
      </c>
      <c r="T182" s="157">
        <v>1537891.28</v>
      </c>
      <c r="U182" s="157">
        <v>6223.28</v>
      </c>
      <c r="V182" s="314"/>
      <c r="W182" s="333">
        <v>6</v>
      </c>
      <c r="X182" s="334" t="s">
        <v>481</v>
      </c>
      <c r="Y182" s="335">
        <v>108</v>
      </c>
      <c r="Z182" s="336">
        <v>6223.28</v>
      </c>
      <c r="AA182" s="336">
        <v>0</v>
      </c>
      <c r="AB182" s="336">
        <v>6223.28</v>
      </c>
      <c r="AC182" s="336">
        <v>1537891.28</v>
      </c>
      <c r="AD182" s="336">
        <v>0</v>
      </c>
      <c r="AE182" s="336">
        <v>1537891.28</v>
      </c>
      <c r="AF182"/>
      <c r="AG182"/>
    </row>
    <row r="183" spans="1:33" ht="12" x14ac:dyDescent="0.2">
      <c r="A183" s="156" t="s">
        <v>58</v>
      </c>
      <c r="B183" s="156" t="s">
        <v>99</v>
      </c>
      <c r="C183" s="156">
        <v>109</v>
      </c>
      <c r="D183" s="157">
        <v>55000</v>
      </c>
      <c r="E183" s="157">
        <v>3237000</v>
      </c>
      <c r="F183" s="157">
        <v>1654989</v>
      </c>
      <c r="G183" s="157">
        <v>0</v>
      </c>
      <c r="H183" s="157">
        <v>254541.54</v>
      </c>
      <c r="I183" s="157">
        <v>0</v>
      </c>
      <c r="J183" s="157">
        <v>1307825.47</v>
      </c>
      <c r="K183" s="157">
        <v>7170295.7199999997</v>
      </c>
      <c r="L183" s="157">
        <v>7482429.7800000003</v>
      </c>
      <c r="M183" s="157">
        <v>3604282.8</v>
      </c>
      <c r="N183" s="157">
        <v>3674383.8</v>
      </c>
      <c r="O183" s="157">
        <v>5953483.1699999999</v>
      </c>
      <c r="P183" s="157">
        <v>2951346.78</v>
      </c>
      <c r="Q183" s="157">
        <v>577914.81999999995</v>
      </c>
      <c r="R183" s="157">
        <v>677603.07</v>
      </c>
      <c r="S183" s="157">
        <v>292301.7</v>
      </c>
      <c r="T183" s="157">
        <v>2718110.75</v>
      </c>
      <c r="U183" s="157">
        <v>438459.56</v>
      </c>
      <c r="V183" s="314"/>
      <c r="W183" s="329">
        <v>7</v>
      </c>
      <c r="X183" s="330" t="s">
        <v>99</v>
      </c>
      <c r="Y183" s="331">
        <v>109</v>
      </c>
      <c r="Z183" s="332">
        <v>438459.56</v>
      </c>
      <c r="AA183" s="332">
        <v>0</v>
      </c>
      <c r="AB183" s="332">
        <v>438459.56</v>
      </c>
      <c r="AC183" s="332">
        <v>2718110.75</v>
      </c>
      <c r="AD183" s="332">
        <v>0</v>
      </c>
      <c r="AE183" s="332">
        <v>2718110.75</v>
      </c>
      <c r="AF183"/>
      <c r="AG183"/>
    </row>
    <row r="184" spans="1:33" ht="12" x14ac:dyDescent="0.2">
      <c r="A184" s="156" t="s">
        <v>398</v>
      </c>
      <c r="B184" s="156" t="s">
        <v>482</v>
      </c>
      <c r="C184" s="156">
        <v>110</v>
      </c>
      <c r="D184" s="157"/>
      <c r="E184" s="157"/>
      <c r="F184" s="157">
        <v>0</v>
      </c>
      <c r="G184" s="157">
        <v>0</v>
      </c>
      <c r="H184" s="157">
        <v>0</v>
      </c>
      <c r="I184" s="157">
        <v>0</v>
      </c>
      <c r="J184" s="157">
        <v>0</v>
      </c>
      <c r="K184" s="157">
        <v>0</v>
      </c>
      <c r="L184" s="157">
        <v>0</v>
      </c>
      <c r="M184" s="157">
        <v>0</v>
      </c>
      <c r="N184" s="157">
        <v>0</v>
      </c>
      <c r="O184" s="157">
        <v>0</v>
      </c>
      <c r="P184" s="157">
        <v>0</v>
      </c>
      <c r="Q184" s="157">
        <v>0</v>
      </c>
      <c r="R184" s="157">
        <v>0</v>
      </c>
      <c r="S184" s="157">
        <v>0</v>
      </c>
      <c r="T184" s="157">
        <v>0</v>
      </c>
      <c r="U184" s="157">
        <v>0</v>
      </c>
      <c r="V184" s="314"/>
      <c r="W184" s="333">
        <v>8</v>
      </c>
      <c r="X184" s="334" t="s">
        <v>482</v>
      </c>
      <c r="Y184" s="335">
        <v>110</v>
      </c>
      <c r="Z184" s="336">
        <v>0</v>
      </c>
      <c r="AA184" s="336">
        <v>0</v>
      </c>
      <c r="AB184" s="336">
        <v>0</v>
      </c>
      <c r="AC184" s="336">
        <v>0</v>
      </c>
      <c r="AD184" s="336">
        <v>0</v>
      </c>
      <c r="AE184" s="336">
        <v>0</v>
      </c>
      <c r="AF184"/>
      <c r="AG184"/>
    </row>
    <row r="185" spans="1:33" ht="12" x14ac:dyDescent="0.2">
      <c r="A185" s="156" t="s">
        <v>404</v>
      </c>
      <c r="B185" s="156" t="s">
        <v>477</v>
      </c>
      <c r="C185" s="156">
        <v>111</v>
      </c>
      <c r="D185" s="157"/>
      <c r="E185" s="157"/>
      <c r="F185" s="157">
        <v>0</v>
      </c>
      <c r="G185" s="157">
        <v>0</v>
      </c>
      <c r="H185" s="157">
        <v>0</v>
      </c>
      <c r="I185" s="157">
        <v>0</v>
      </c>
      <c r="J185" s="157">
        <v>0</v>
      </c>
      <c r="K185" s="157">
        <v>0</v>
      </c>
      <c r="L185" s="157">
        <v>0</v>
      </c>
      <c r="M185" s="157">
        <v>0</v>
      </c>
      <c r="N185" s="157">
        <v>0</v>
      </c>
      <c r="O185" s="157">
        <v>0</v>
      </c>
      <c r="P185" s="157">
        <v>0</v>
      </c>
      <c r="Q185" s="157">
        <v>0</v>
      </c>
      <c r="R185" s="157">
        <v>0</v>
      </c>
      <c r="S185" s="157">
        <v>0</v>
      </c>
      <c r="T185" s="157">
        <v>0</v>
      </c>
      <c r="U185" s="157">
        <v>0</v>
      </c>
      <c r="V185" s="314"/>
      <c r="W185" s="329">
        <v>9</v>
      </c>
      <c r="X185" s="330" t="s">
        <v>477</v>
      </c>
      <c r="Y185" s="331">
        <v>111</v>
      </c>
      <c r="Z185" s="332">
        <v>0</v>
      </c>
      <c r="AA185" s="332">
        <v>0</v>
      </c>
      <c r="AB185" s="332">
        <v>0</v>
      </c>
      <c r="AC185" s="332">
        <v>0</v>
      </c>
      <c r="AD185" s="332">
        <v>0</v>
      </c>
      <c r="AE185" s="332">
        <v>0</v>
      </c>
      <c r="AF185"/>
      <c r="AG185"/>
    </row>
    <row r="186" spans="1:33" ht="12" x14ac:dyDescent="0.2">
      <c r="A186" s="156" t="s">
        <v>480</v>
      </c>
      <c r="B186" s="156" t="s">
        <v>479</v>
      </c>
      <c r="C186" s="156">
        <v>112</v>
      </c>
      <c r="D186" s="157">
        <v>55000</v>
      </c>
      <c r="E186" s="157">
        <v>73000</v>
      </c>
      <c r="F186" s="157">
        <v>118836.5</v>
      </c>
      <c r="G186" s="157">
        <v>63138.8</v>
      </c>
      <c r="H186" s="157">
        <v>70355.72</v>
      </c>
      <c r="I186" s="157">
        <v>156332.4</v>
      </c>
      <c r="J186" s="157">
        <v>102421.04</v>
      </c>
      <c r="K186" s="157">
        <v>306811.88</v>
      </c>
      <c r="L186" s="157">
        <v>1790627.57</v>
      </c>
      <c r="M186" s="157">
        <v>-13077.54</v>
      </c>
      <c r="N186" s="157">
        <v>25000</v>
      </c>
      <c r="O186" s="157">
        <v>26000</v>
      </c>
      <c r="P186" s="157">
        <v>38818.07</v>
      </c>
      <c r="Q186" s="157">
        <v>25000</v>
      </c>
      <c r="R186" s="157">
        <v>30000</v>
      </c>
      <c r="S186" s="157">
        <v>30000</v>
      </c>
      <c r="T186" s="157">
        <v>30000</v>
      </c>
      <c r="U186" s="157">
        <v>30000</v>
      </c>
      <c r="V186" s="314"/>
      <c r="W186" s="333">
        <v>10</v>
      </c>
      <c r="X186" s="334" t="s">
        <v>479</v>
      </c>
      <c r="Y186" s="335">
        <v>112</v>
      </c>
      <c r="Z186" s="336">
        <v>30000</v>
      </c>
      <c r="AA186" s="336">
        <v>0</v>
      </c>
      <c r="AB186" s="336">
        <v>30000</v>
      </c>
      <c r="AC186" s="336">
        <v>30000</v>
      </c>
      <c r="AD186" s="336">
        <v>0</v>
      </c>
      <c r="AE186" s="336">
        <v>30000</v>
      </c>
      <c r="AF186"/>
      <c r="AG186"/>
    </row>
    <row r="187" spans="1:33" ht="12" x14ac:dyDescent="0.2">
      <c r="A187" s="156" t="s">
        <v>483</v>
      </c>
      <c r="B187" s="156" t="s">
        <v>100</v>
      </c>
      <c r="C187" s="156">
        <v>113</v>
      </c>
      <c r="D187" s="157"/>
      <c r="E187" s="157"/>
      <c r="F187" s="157">
        <v>19292.86</v>
      </c>
      <c r="G187" s="157">
        <v>19661</v>
      </c>
      <c r="H187" s="157">
        <v>3643</v>
      </c>
      <c r="I187" s="157">
        <v>45765</v>
      </c>
      <c r="J187" s="157">
        <v>0</v>
      </c>
      <c r="K187" s="157">
        <v>20773</v>
      </c>
      <c r="L187" s="157">
        <v>0</v>
      </c>
      <c r="M187" s="157">
        <v>71550</v>
      </c>
      <c r="N187" s="157">
        <v>167299.70000000001</v>
      </c>
      <c r="O187" s="157">
        <v>61288.25</v>
      </c>
      <c r="P187" s="157">
        <v>121869.72</v>
      </c>
      <c r="Q187" s="157">
        <v>115082</v>
      </c>
      <c r="R187" s="157">
        <v>79652</v>
      </c>
      <c r="S187" s="157">
        <v>0</v>
      </c>
      <c r="T187" s="157">
        <v>0</v>
      </c>
      <c r="U187" s="157">
        <v>-97974.36</v>
      </c>
      <c r="V187" s="314"/>
      <c r="W187" s="329">
        <v>11</v>
      </c>
      <c r="X187" s="330" t="s">
        <v>100</v>
      </c>
      <c r="Y187" s="331">
        <v>113</v>
      </c>
      <c r="Z187" s="332">
        <v>-97974.36</v>
      </c>
      <c r="AA187" s="332">
        <v>0</v>
      </c>
      <c r="AB187" s="332">
        <v>-97974.36</v>
      </c>
      <c r="AC187" s="332">
        <v>0</v>
      </c>
      <c r="AD187" s="332">
        <v>0</v>
      </c>
      <c r="AE187" s="332">
        <v>0</v>
      </c>
      <c r="AF187"/>
      <c r="AG187"/>
    </row>
    <row r="188" spans="1:33" ht="12" x14ac:dyDescent="0.2">
      <c r="A188" s="156" t="s">
        <v>484</v>
      </c>
      <c r="B188" s="156" t="s">
        <v>101</v>
      </c>
      <c r="C188" s="156">
        <v>114</v>
      </c>
      <c r="D188" s="157">
        <v>479000</v>
      </c>
      <c r="E188" s="157">
        <v>3485000</v>
      </c>
      <c r="F188" s="157">
        <v>4000000</v>
      </c>
      <c r="G188" s="157">
        <v>5000750.05</v>
      </c>
      <c r="H188" s="157">
        <v>4000000</v>
      </c>
      <c r="I188" s="157">
        <v>10000000</v>
      </c>
      <c r="J188" s="157">
        <v>28786627.149999999</v>
      </c>
      <c r="K188" s="157">
        <v>37428929.939999998</v>
      </c>
      <c r="L188" s="157">
        <v>28376250</v>
      </c>
      <c r="M188" s="157">
        <v>13768383.07</v>
      </c>
      <c r="N188" s="157">
        <v>67678563.739999995</v>
      </c>
      <c r="O188" s="157">
        <v>30166567.879999999</v>
      </c>
      <c r="P188" s="157">
        <v>11072060</v>
      </c>
      <c r="Q188" s="157">
        <v>1527590</v>
      </c>
      <c r="R188" s="157">
        <v>130017342.73999999</v>
      </c>
      <c r="S188" s="157">
        <v>121133755.23</v>
      </c>
      <c r="T188" s="157">
        <v>80220375.780000001</v>
      </c>
      <c r="U188" s="157">
        <v>62083592.93</v>
      </c>
      <c r="V188" s="314"/>
      <c r="W188" s="333" t="s">
        <v>484</v>
      </c>
      <c r="X188" s="334" t="s">
        <v>101</v>
      </c>
      <c r="Y188" s="335">
        <v>114</v>
      </c>
      <c r="Z188" s="336">
        <v>62083592.93</v>
      </c>
      <c r="AA188" s="336">
        <v>0</v>
      </c>
      <c r="AB188" s="336">
        <v>62083592.93</v>
      </c>
      <c r="AC188" s="336">
        <v>80220375.780000001</v>
      </c>
      <c r="AD188" s="336">
        <v>0</v>
      </c>
      <c r="AE188" s="336">
        <v>80220375.780000001</v>
      </c>
      <c r="AF188"/>
      <c r="AG188"/>
    </row>
    <row r="189" spans="1:33" ht="12" x14ac:dyDescent="0.2">
      <c r="A189" s="156" t="s">
        <v>485</v>
      </c>
      <c r="B189" s="156" t="s">
        <v>102</v>
      </c>
      <c r="C189" s="156">
        <v>115</v>
      </c>
      <c r="D189" s="157"/>
      <c r="E189" s="157"/>
      <c r="F189" s="157">
        <v>0</v>
      </c>
      <c r="G189" s="157">
        <v>0</v>
      </c>
      <c r="H189" s="157">
        <v>0</v>
      </c>
      <c r="I189" s="157">
        <v>0</v>
      </c>
      <c r="J189" s="157">
        <v>0</v>
      </c>
      <c r="K189" s="157">
        <v>0</v>
      </c>
      <c r="L189" s="157">
        <v>0</v>
      </c>
      <c r="M189" s="157">
        <v>0</v>
      </c>
      <c r="N189" s="157">
        <v>41229222</v>
      </c>
      <c r="O189" s="157">
        <v>24104325</v>
      </c>
      <c r="P189" s="157">
        <v>11072060</v>
      </c>
      <c r="Q189" s="157">
        <v>1527590</v>
      </c>
      <c r="R189" s="157">
        <v>121316342.73999999</v>
      </c>
      <c r="S189" s="157">
        <v>100516971.18000001</v>
      </c>
      <c r="T189" s="157">
        <v>80220375.780000001</v>
      </c>
      <c r="U189" s="157">
        <v>62083592.93</v>
      </c>
      <c r="V189" s="314"/>
      <c r="W189" s="329" t="s">
        <v>485</v>
      </c>
      <c r="X189" s="330" t="s">
        <v>102</v>
      </c>
      <c r="Y189" s="331">
        <v>115</v>
      </c>
      <c r="Z189" s="332">
        <v>62083592.93</v>
      </c>
      <c r="AA189" s="332">
        <v>0</v>
      </c>
      <c r="AB189" s="332">
        <v>62083592.93</v>
      </c>
      <c r="AC189" s="332">
        <v>80220375.780000001</v>
      </c>
      <c r="AD189" s="332">
        <v>0</v>
      </c>
      <c r="AE189" s="332">
        <v>80220375.780000001</v>
      </c>
      <c r="AF189"/>
      <c r="AG189"/>
    </row>
    <row r="190" spans="1:33" ht="12" x14ac:dyDescent="0.2">
      <c r="A190" s="156" t="s">
        <v>51</v>
      </c>
      <c r="B190" s="156" t="s">
        <v>486</v>
      </c>
      <c r="C190" s="156">
        <v>116</v>
      </c>
      <c r="D190" s="157"/>
      <c r="E190" s="157">
        <v>3000000</v>
      </c>
      <c r="F190" s="157">
        <v>4000000</v>
      </c>
      <c r="G190" s="157">
        <v>5000750.05</v>
      </c>
      <c r="H190" s="157">
        <v>4000000</v>
      </c>
      <c r="I190" s="157">
        <v>10000000</v>
      </c>
      <c r="J190" s="157">
        <v>28786627.149999999</v>
      </c>
      <c r="K190" s="157">
        <v>37428929.939999998</v>
      </c>
      <c r="L190" s="157">
        <v>28376250</v>
      </c>
      <c r="M190" s="157">
        <v>13768383.07</v>
      </c>
      <c r="N190" s="157">
        <v>26449341.739999998</v>
      </c>
      <c r="O190" s="157">
        <v>6062242.8799999999</v>
      </c>
      <c r="P190" s="157">
        <v>0</v>
      </c>
      <c r="Q190" s="157">
        <v>0</v>
      </c>
      <c r="R190" s="157">
        <v>8701000</v>
      </c>
      <c r="S190" s="157">
        <v>20616784.050000001</v>
      </c>
      <c r="T190" s="157">
        <v>0</v>
      </c>
      <c r="U190" s="157">
        <v>0</v>
      </c>
      <c r="V190" s="314"/>
      <c r="W190" s="333">
        <v>2</v>
      </c>
      <c r="X190" s="334" t="s">
        <v>486</v>
      </c>
      <c r="Y190" s="335">
        <v>116</v>
      </c>
      <c r="Z190" s="336">
        <v>0</v>
      </c>
      <c r="AA190" s="336">
        <v>0</v>
      </c>
      <c r="AB190" s="336">
        <v>0</v>
      </c>
      <c r="AC190" s="336">
        <v>0</v>
      </c>
      <c r="AD190" s="336">
        <v>0</v>
      </c>
      <c r="AE190" s="336">
        <v>0</v>
      </c>
      <c r="AF190"/>
      <c r="AG190"/>
    </row>
    <row r="191" spans="1:33" ht="12" x14ac:dyDescent="0.2">
      <c r="A191" s="156" t="s">
        <v>52</v>
      </c>
      <c r="B191" s="156" t="s">
        <v>104</v>
      </c>
      <c r="C191" s="156">
        <v>117</v>
      </c>
      <c r="D191" s="157">
        <v>479000</v>
      </c>
      <c r="E191" s="157">
        <v>485000</v>
      </c>
      <c r="F191" s="157">
        <v>0</v>
      </c>
      <c r="G191" s="157">
        <v>0</v>
      </c>
      <c r="H191" s="157">
        <v>0</v>
      </c>
      <c r="I191" s="157">
        <v>0</v>
      </c>
      <c r="J191" s="157">
        <v>0</v>
      </c>
      <c r="K191" s="157">
        <v>0</v>
      </c>
      <c r="L191" s="157">
        <v>0</v>
      </c>
      <c r="M191" s="157">
        <v>0</v>
      </c>
      <c r="N191" s="157">
        <v>0</v>
      </c>
      <c r="O191" s="157">
        <v>0</v>
      </c>
      <c r="P191" s="157">
        <v>0</v>
      </c>
      <c r="Q191" s="157">
        <v>0</v>
      </c>
      <c r="R191" s="157">
        <v>0</v>
      </c>
      <c r="S191" s="157">
        <v>0</v>
      </c>
      <c r="T191" s="157">
        <v>0</v>
      </c>
      <c r="U191" s="157">
        <v>0</v>
      </c>
      <c r="V191" s="314"/>
      <c r="W191" s="329">
        <v>3</v>
      </c>
      <c r="X191" s="330" t="s">
        <v>104</v>
      </c>
      <c r="Y191" s="331">
        <v>117</v>
      </c>
      <c r="Z191" s="332">
        <v>0</v>
      </c>
      <c r="AA191" s="332">
        <v>0</v>
      </c>
      <c r="AB191" s="332">
        <v>0</v>
      </c>
      <c r="AC191" s="332">
        <v>0</v>
      </c>
      <c r="AD191" s="332">
        <v>0</v>
      </c>
      <c r="AE191" s="332">
        <v>0</v>
      </c>
      <c r="AF191"/>
      <c r="AG191"/>
    </row>
    <row r="192" spans="1:33" ht="12" x14ac:dyDescent="0.2">
      <c r="A192" s="156" t="s">
        <v>418</v>
      </c>
      <c r="B192" s="156" t="s">
        <v>442</v>
      </c>
      <c r="C192" s="156">
        <v>118</v>
      </c>
      <c r="D192" s="157"/>
      <c r="E192" s="157"/>
      <c r="F192" s="157">
        <v>439507.74</v>
      </c>
      <c r="G192" s="157">
        <v>106695.85</v>
      </c>
      <c r="H192" s="157">
        <v>66027.539999999994</v>
      </c>
      <c r="I192" s="157">
        <v>10952.45</v>
      </c>
      <c r="J192" s="157">
        <v>17030.93</v>
      </c>
      <c r="K192" s="157">
        <v>47664.07</v>
      </c>
      <c r="L192" s="157">
        <v>0</v>
      </c>
      <c r="M192" s="157">
        <v>34919.050000000003</v>
      </c>
      <c r="N192" s="157">
        <v>451825.35</v>
      </c>
      <c r="O192" s="157">
        <v>534906.80000000005</v>
      </c>
      <c r="P192" s="157">
        <v>311880.78999999998</v>
      </c>
      <c r="Q192" s="157">
        <v>1047472.76</v>
      </c>
      <c r="R192" s="157">
        <v>1060730.07</v>
      </c>
      <c r="S192" s="157">
        <v>1319196.95</v>
      </c>
      <c r="T192" s="157">
        <v>1610256.18</v>
      </c>
      <c r="U192" s="157">
        <v>0</v>
      </c>
      <c r="V192" s="314"/>
      <c r="W192" s="333" t="s">
        <v>418</v>
      </c>
      <c r="X192" s="334" t="s">
        <v>442</v>
      </c>
      <c r="Y192" s="335">
        <v>118</v>
      </c>
      <c r="Z192" s="336">
        <v>0</v>
      </c>
      <c r="AA192" s="336">
        <v>0</v>
      </c>
      <c r="AB192" s="336">
        <v>0</v>
      </c>
      <c r="AC192" s="336">
        <v>1610256.18</v>
      </c>
      <c r="AD192" s="336">
        <v>0</v>
      </c>
      <c r="AE192" s="336">
        <v>1610256.18</v>
      </c>
      <c r="AF192"/>
      <c r="AG192"/>
    </row>
    <row r="193" spans="1:33" ht="12" x14ac:dyDescent="0.2">
      <c r="A193" s="156" t="s">
        <v>419</v>
      </c>
      <c r="B193" s="156" t="s">
        <v>487</v>
      </c>
      <c r="C193" s="156">
        <v>119</v>
      </c>
      <c r="D193" s="157"/>
      <c r="E193" s="157"/>
      <c r="F193" s="157">
        <v>439507.74</v>
      </c>
      <c r="G193" s="157">
        <v>106695.85</v>
      </c>
      <c r="H193" s="157">
        <v>66027.539999999994</v>
      </c>
      <c r="I193" s="157">
        <v>10952.45</v>
      </c>
      <c r="J193" s="157">
        <v>17030.93</v>
      </c>
      <c r="K193" s="157">
        <v>47664.07</v>
      </c>
      <c r="L193" s="157">
        <v>0</v>
      </c>
      <c r="M193" s="157">
        <v>34919.050000000003</v>
      </c>
      <c r="N193" s="157">
        <v>451825.35</v>
      </c>
      <c r="O193" s="157">
        <v>534906.80000000005</v>
      </c>
      <c r="P193" s="157">
        <v>311880.78999999998</v>
      </c>
      <c r="Q193" s="157">
        <v>1047472.76</v>
      </c>
      <c r="R193" s="157">
        <v>1060730.07</v>
      </c>
      <c r="S193" s="157">
        <v>1025780.75</v>
      </c>
      <c r="T193" s="157">
        <v>1302990.6399999999</v>
      </c>
      <c r="U193" s="157">
        <v>0</v>
      </c>
      <c r="V193" s="314"/>
      <c r="W193" s="329" t="s">
        <v>419</v>
      </c>
      <c r="X193" s="330" t="s">
        <v>487</v>
      </c>
      <c r="Y193" s="331">
        <v>119</v>
      </c>
      <c r="Z193" s="332">
        <v>0</v>
      </c>
      <c r="AA193" s="332">
        <v>0</v>
      </c>
      <c r="AB193" s="332">
        <v>0</v>
      </c>
      <c r="AC193" s="332">
        <v>1302990.6399999999</v>
      </c>
      <c r="AD193" s="332">
        <v>0</v>
      </c>
      <c r="AE193" s="332">
        <v>1302990.6399999999</v>
      </c>
      <c r="AF193"/>
      <c r="AG193"/>
    </row>
    <row r="194" spans="1:33" ht="12" x14ac:dyDescent="0.2">
      <c r="A194" s="156" t="s">
        <v>51</v>
      </c>
      <c r="B194" s="156" t="s">
        <v>488</v>
      </c>
      <c r="C194" s="156">
        <v>120</v>
      </c>
      <c r="D194" s="157"/>
      <c r="E194" s="157"/>
      <c r="F194" s="157">
        <v>0</v>
      </c>
      <c r="G194" s="157">
        <v>0</v>
      </c>
      <c r="H194" s="157">
        <v>0</v>
      </c>
      <c r="I194" s="157">
        <v>0</v>
      </c>
      <c r="J194" s="157">
        <v>0</v>
      </c>
      <c r="K194" s="157">
        <v>0</v>
      </c>
      <c r="L194" s="157">
        <v>0</v>
      </c>
      <c r="M194" s="157">
        <v>0</v>
      </c>
      <c r="N194" s="157">
        <v>0</v>
      </c>
      <c r="O194" s="157">
        <v>0</v>
      </c>
      <c r="P194" s="157">
        <v>0</v>
      </c>
      <c r="Q194" s="157">
        <v>0</v>
      </c>
      <c r="R194" s="157">
        <v>0</v>
      </c>
      <c r="S194" s="157">
        <v>293416.2</v>
      </c>
      <c r="T194" s="157">
        <v>307265.53999999998</v>
      </c>
      <c r="U194" s="157">
        <v>0</v>
      </c>
      <c r="V194" s="314"/>
      <c r="W194" s="333">
        <v>2</v>
      </c>
      <c r="X194" s="334" t="s">
        <v>488</v>
      </c>
      <c r="Y194" s="335">
        <v>120</v>
      </c>
      <c r="Z194" s="336">
        <v>0</v>
      </c>
      <c r="AA194" s="336">
        <v>0</v>
      </c>
      <c r="AB194" s="336">
        <v>0</v>
      </c>
      <c r="AC194" s="336">
        <v>307265.53999999998</v>
      </c>
      <c r="AD194" s="336">
        <v>0</v>
      </c>
      <c r="AE194" s="336">
        <v>307265.53999999998</v>
      </c>
      <c r="AF194"/>
      <c r="AG194"/>
    </row>
    <row r="195" spans="1:33" x14ac:dyDescent="0.2">
      <c r="X195"/>
      <c r="Y195"/>
      <c r="Z195"/>
      <c r="AA195"/>
      <c r="AB195"/>
      <c r="AC195"/>
      <c r="AD195"/>
      <c r="AE195"/>
      <c r="AF195"/>
      <c r="AG195"/>
    </row>
    <row r="196" spans="1:33" x14ac:dyDescent="0.2">
      <c r="X196"/>
      <c r="Y196"/>
      <c r="Z196"/>
      <c r="AA196"/>
      <c r="AB196"/>
      <c r="AC196"/>
      <c r="AD196"/>
      <c r="AE196"/>
      <c r="AF196"/>
      <c r="AG196"/>
    </row>
    <row r="197" spans="1:33" x14ac:dyDescent="0.2">
      <c r="X197"/>
      <c r="Y197"/>
      <c r="Z197"/>
      <c r="AA197"/>
      <c r="AB197"/>
      <c r="AC197"/>
      <c r="AD197"/>
      <c r="AE197"/>
      <c r="AF197"/>
      <c r="AG197"/>
    </row>
    <row r="198" spans="1:33" x14ac:dyDescent="0.2">
      <c r="X198"/>
      <c r="Y198"/>
      <c r="Z198"/>
      <c r="AA198"/>
      <c r="AB198"/>
      <c r="AC198"/>
      <c r="AD198"/>
      <c r="AE198"/>
      <c r="AF198"/>
      <c r="AG198"/>
    </row>
    <row r="199" spans="1:33" ht="15" x14ac:dyDescent="0.25">
      <c r="A199" s="154" t="s">
        <v>575</v>
      </c>
      <c r="X199"/>
      <c r="Y199"/>
      <c r="Z199"/>
      <c r="AA199"/>
      <c r="AB199"/>
      <c r="AC199"/>
      <c r="AD199"/>
      <c r="AE199"/>
      <c r="AF199"/>
      <c r="AG199"/>
    </row>
    <row r="200" spans="1:33" x14ac:dyDescent="0.2">
      <c r="A200" s="156" t="s">
        <v>340</v>
      </c>
      <c r="B200" s="156" t="s">
        <v>341</v>
      </c>
      <c r="C200" s="156" t="s">
        <v>342</v>
      </c>
      <c r="D200" s="228">
        <f>$B$1</f>
        <v>2007</v>
      </c>
      <c r="E200" s="228">
        <f t="shared" ref="E200" si="16">D200+1</f>
        <v>2008</v>
      </c>
      <c r="F200" s="228">
        <f t="shared" ref="F200" si="17">E200+1</f>
        <v>2009</v>
      </c>
      <c r="G200" s="228">
        <f t="shared" ref="G200" si="18">F200+1</f>
        <v>2010</v>
      </c>
      <c r="H200" s="228">
        <f t="shared" ref="H200" si="19">G200+1</f>
        <v>2011</v>
      </c>
      <c r="I200" s="228">
        <f t="shared" ref="I200" si="20">H200+1</f>
        <v>2012</v>
      </c>
      <c r="J200" s="228">
        <f t="shared" ref="J200:M200" si="21">I200+1</f>
        <v>2013</v>
      </c>
      <c r="K200" s="228">
        <f t="shared" si="21"/>
        <v>2014</v>
      </c>
      <c r="L200" s="228">
        <f t="shared" si="21"/>
        <v>2015</v>
      </c>
      <c r="M200" s="228">
        <f t="shared" si="21"/>
        <v>2016</v>
      </c>
      <c r="N200" s="228">
        <f t="shared" ref="N200" si="22">M200+1</f>
        <v>2017</v>
      </c>
      <c r="O200" s="228">
        <f t="shared" ref="O200:U200" si="23">N200+1</f>
        <v>2018</v>
      </c>
      <c r="P200" s="228">
        <f t="shared" si="23"/>
        <v>2019</v>
      </c>
      <c r="Q200" s="228">
        <f t="shared" si="23"/>
        <v>2020</v>
      </c>
      <c r="R200" s="228">
        <f t="shared" si="23"/>
        <v>2021</v>
      </c>
      <c r="S200" s="228">
        <f t="shared" si="23"/>
        <v>2022</v>
      </c>
      <c r="T200" s="228">
        <f t="shared" si="23"/>
        <v>2023</v>
      </c>
      <c r="U200" s="228">
        <f t="shared" si="23"/>
        <v>2024</v>
      </c>
      <c r="V200" s="316"/>
      <c r="X200"/>
      <c r="Y200"/>
      <c r="Z200"/>
      <c r="AA200"/>
      <c r="AB200"/>
      <c r="AC200"/>
      <c r="AD200"/>
      <c r="AE200"/>
      <c r="AF200"/>
      <c r="AG200"/>
    </row>
    <row r="201" spans="1:33" x14ac:dyDescent="0.2">
      <c r="A201" s="156" t="s">
        <v>40</v>
      </c>
      <c r="B201" s="156" t="s">
        <v>493</v>
      </c>
      <c r="C201" s="156">
        <v>1</v>
      </c>
      <c r="D201" s="157"/>
      <c r="E201" s="157">
        <f t="shared" ref="E201:I201" si="24">D132</f>
        <v>2117000</v>
      </c>
      <c r="F201" s="157">
        <f t="shared" si="24"/>
        <v>4557000</v>
      </c>
      <c r="G201" s="157">
        <f t="shared" si="24"/>
        <v>3922431.53</v>
      </c>
      <c r="H201" s="157">
        <f t="shared" si="24"/>
        <v>4341794.75</v>
      </c>
      <c r="I201" s="157">
        <f t="shared" si="24"/>
        <v>5684208</v>
      </c>
      <c r="J201" s="157">
        <f>I132</f>
        <v>16922777.23</v>
      </c>
      <c r="K201" s="157">
        <f>J132</f>
        <v>10129837.26</v>
      </c>
      <c r="L201" s="157">
        <f>K132</f>
        <v>13214852.810000001</v>
      </c>
      <c r="M201" s="157">
        <f t="shared" ref="M201:U201" si="25">L132</f>
        <v>13850607.02</v>
      </c>
      <c r="N201" s="157">
        <f>M132</f>
        <v>15621459.43</v>
      </c>
      <c r="O201" s="157">
        <f t="shared" si="25"/>
        <v>25056753.66</v>
      </c>
      <c r="P201" s="157">
        <f t="shared" si="25"/>
        <v>25868144.460000001</v>
      </c>
      <c r="Q201" s="157">
        <f t="shared" si="25"/>
        <v>35209547.469999999</v>
      </c>
      <c r="R201" s="157">
        <f t="shared" si="25"/>
        <v>28108714.57</v>
      </c>
      <c r="S201" s="157">
        <f t="shared" si="25"/>
        <v>29382749.109999999</v>
      </c>
      <c r="T201" s="157">
        <f t="shared" si="25"/>
        <v>26187521.699999999</v>
      </c>
      <c r="U201" s="157">
        <f>T132</f>
        <v>33703514.560000002</v>
      </c>
      <c r="V201" s="314"/>
      <c r="X201"/>
      <c r="Y201"/>
      <c r="Z201"/>
      <c r="AA201"/>
      <c r="AB201"/>
      <c r="AC201"/>
      <c r="AD201"/>
      <c r="AE201"/>
      <c r="AF201"/>
      <c r="AG201"/>
    </row>
    <row r="202" spans="1:33" ht="12" thickBot="1" x14ac:dyDescent="0.25">
      <c r="A202" s="247" t="s">
        <v>494</v>
      </c>
      <c r="B202" s="247" t="s">
        <v>495</v>
      </c>
      <c r="C202" s="247">
        <v>2</v>
      </c>
      <c r="D202" s="248"/>
      <c r="E202" s="248"/>
      <c r="F202" s="248"/>
      <c r="G202" s="248"/>
      <c r="H202" s="248"/>
      <c r="I202" s="248"/>
      <c r="J202" s="248"/>
      <c r="K202" s="248"/>
      <c r="L202" s="248"/>
      <c r="M202" s="248"/>
      <c r="N202" s="248"/>
      <c r="O202" s="248"/>
      <c r="P202" s="248"/>
      <c r="Q202" s="248"/>
      <c r="R202" s="248"/>
      <c r="S202" s="248"/>
      <c r="T202" s="248"/>
      <c r="U202" s="248"/>
      <c r="V202" s="315"/>
    </row>
    <row r="203" spans="1:33" x14ac:dyDescent="0.2">
      <c r="A203" s="251" t="s">
        <v>108</v>
      </c>
      <c r="B203" s="252" t="s">
        <v>496</v>
      </c>
      <c r="C203" s="252">
        <v>3</v>
      </c>
      <c r="D203" s="253"/>
      <c r="E203" s="254">
        <f t="shared" ref="E203:I203" si="26">E60+E57</f>
        <v>12656000</v>
      </c>
      <c r="F203" s="254">
        <f t="shared" si="26"/>
        <v>12792520</v>
      </c>
      <c r="G203" s="254">
        <f t="shared" si="26"/>
        <v>437720.77</v>
      </c>
      <c r="H203" s="254">
        <f t="shared" si="26"/>
        <v>13630588.699999999</v>
      </c>
      <c r="I203" s="254">
        <f t="shared" si="26"/>
        <v>4291039.58</v>
      </c>
      <c r="J203" s="254">
        <f t="shared" ref="J203:O203" si="27">J60+J57</f>
        <v>21870748.050000001</v>
      </c>
      <c r="K203" s="254">
        <f t="shared" si="27"/>
        <v>24952726.129999999</v>
      </c>
      <c r="L203" s="254">
        <f t="shared" si="27"/>
        <v>33930464.969999999</v>
      </c>
      <c r="M203" s="254">
        <f t="shared" si="27"/>
        <v>13948207.35</v>
      </c>
      <c r="N203" s="254">
        <f t="shared" si="27"/>
        <v>6400538.0800000001</v>
      </c>
      <c r="O203" s="254">
        <f t="shared" si="27"/>
        <v>17486309.050000001</v>
      </c>
      <c r="P203" s="254">
        <f t="shared" ref="P203:Q203" si="28">P60+P57</f>
        <v>21104508.77</v>
      </c>
      <c r="Q203" s="254">
        <f t="shared" si="28"/>
        <v>952917.96000000008</v>
      </c>
      <c r="R203" s="254">
        <f t="shared" ref="R203:S203" si="29">R60+R57</f>
        <v>-1330822.08</v>
      </c>
      <c r="S203" s="254">
        <f t="shared" si="29"/>
        <v>228267.19</v>
      </c>
      <c r="T203" s="254">
        <f t="shared" ref="T203:U203" si="30">T60+T57</f>
        <v>5740695.6600000001</v>
      </c>
      <c r="U203" s="254">
        <f t="shared" si="30"/>
        <v>16997753.489999998</v>
      </c>
      <c r="V203" s="314"/>
    </row>
    <row r="204" spans="1:33" x14ac:dyDescent="0.2">
      <c r="A204" s="255" t="s">
        <v>497</v>
      </c>
      <c r="B204" s="156" t="s">
        <v>110</v>
      </c>
      <c r="C204" s="156">
        <v>4</v>
      </c>
      <c r="D204" s="157"/>
      <c r="E204" s="256">
        <f t="shared" ref="E204:I204" si="31">SUM(E205:E210)</f>
        <v>3900000</v>
      </c>
      <c r="F204" s="256">
        <f t="shared" si="31"/>
        <v>-4441137.4800000004</v>
      </c>
      <c r="G204" s="256">
        <f t="shared" si="31"/>
        <v>2594282.1899999995</v>
      </c>
      <c r="H204" s="256">
        <f t="shared" si="31"/>
        <v>12708961.279999999</v>
      </c>
      <c r="I204" s="256">
        <f t="shared" si="31"/>
        <v>25889864.75</v>
      </c>
      <c r="J204" s="256">
        <f t="shared" ref="J204:O204" si="32">SUM(J205:J210)</f>
        <v>41588314.629999995</v>
      </c>
      <c r="K204" s="256">
        <f t="shared" si="32"/>
        <v>50612676.269999996</v>
      </c>
      <c r="L204" s="256">
        <f t="shared" si="32"/>
        <v>69454380.879999995</v>
      </c>
      <c r="M204" s="256">
        <f t="shared" si="32"/>
        <v>94755866.900000006</v>
      </c>
      <c r="N204" s="256">
        <f t="shared" si="32"/>
        <v>94589620.319999993</v>
      </c>
      <c r="O204" s="256">
        <f t="shared" si="32"/>
        <v>80344736.109999999</v>
      </c>
      <c r="P204" s="256">
        <f t="shared" ref="P204:Q204" si="33">SUM(P205:P210)</f>
        <v>70159943.680000007</v>
      </c>
      <c r="Q204" s="256">
        <f t="shared" si="33"/>
        <v>50504538.420000009</v>
      </c>
      <c r="R204" s="256">
        <f t="shared" ref="R204:S204" si="34">SUM(R205:R210)</f>
        <v>48599767.57</v>
      </c>
      <c r="S204" s="256">
        <f t="shared" si="34"/>
        <v>42237091.609999999</v>
      </c>
      <c r="T204" s="256">
        <f t="shared" ref="T204:U204" si="35">SUM(T205:T210)</f>
        <v>54959370.509999998</v>
      </c>
      <c r="U204" s="256">
        <f t="shared" si="35"/>
        <v>12928622.580000002</v>
      </c>
      <c r="V204" s="314"/>
    </row>
    <row r="205" spans="1:33" x14ac:dyDescent="0.2">
      <c r="A205" s="255" t="s">
        <v>498</v>
      </c>
      <c r="B205" s="156" t="s">
        <v>499</v>
      </c>
      <c r="C205" s="156">
        <v>5</v>
      </c>
      <c r="D205" s="157"/>
      <c r="E205" s="256">
        <f t="shared" ref="E205:I205" si="36">E26</f>
        <v>2900000</v>
      </c>
      <c r="F205" s="256">
        <f t="shared" si="36"/>
        <v>5034616.0999999996</v>
      </c>
      <c r="G205" s="256">
        <f t="shared" si="36"/>
        <v>7153310</v>
      </c>
      <c r="H205" s="256">
        <f t="shared" si="36"/>
        <v>12397793.369999999</v>
      </c>
      <c r="I205" s="256">
        <f t="shared" si="36"/>
        <v>25394138.989999998</v>
      </c>
      <c r="J205" s="256">
        <f t="shared" ref="J205:O205" si="37">J26</f>
        <v>41005268.899999999</v>
      </c>
      <c r="K205" s="256">
        <f t="shared" si="37"/>
        <v>50146137.039999999</v>
      </c>
      <c r="L205" s="256">
        <f t="shared" si="37"/>
        <v>68714369.140000001</v>
      </c>
      <c r="M205" s="256">
        <f t="shared" si="37"/>
        <v>93516886.040000007</v>
      </c>
      <c r="N205" s="256">
        <f t="shared" si="37"/>
        <v>92536421.629999995</v>
      </c>
      <c r="O205" s="256">
        <f t="shared" si="37"/>
        <v>79816923.719999999</v>
      </c>
      <c r="P205" s="256">
        <f t="shared" ref="P205:Q205" si="38">P26</f>
        <v>69835034.420000002</v>
      </c>
      <c r="Q205" s="256">
        <f t="shared" si="38"/>
        <v>47780208.490000002</v>
      </c>
      <c r="R205" s="256">
        <f t="shared" ref="R205:S205" si="39">R26</f>
        <v>48190401.649999999</v>
      </c>
      <c r="S205" s="256">
        <f t="shared" si="39"/>
        <v>39551358.729999997</v>
      </c>
      <c r="T205" s="256">
        <f t="shared" ref="T205:U205" si="40">T26</f>
        <v>53452656.280000001</v>
      </c>
      <c r="U205" s="256">
        <f t="shared" si="40"/>
        <v>12139725.050000001</v>
      </c>
      <c r="V205" s="314"/>
    </row>
    <row r="206" spans="1:33" x14ac:dyDescent="0.2">
      <c r="A206" s="255" t="s">
        <v>500</v>
      </c>
      <c r="B206" s="156" t="s">
        <v>501</v>
      </c>
      <c r="C206" s="156">
        <v>6</v>
      </c>
      <c r="D206" s="157"/>
      <c r="E206" s="256">
        <f t="shared" ref="E206:I206" si="41">E160-D160</f>
        <v>450000</v>
      </c>
      <c r="F206" s="256">
        <f t="shared" si="41"/>
        <v>-9557423.5999999996</v>
      </c>
      <c r="G206" s="256">
        <f t="shared" si="41"/>
        <v>-4602576.4000000004</v>
      </c>
      <c r="H206" s="256">
        <f t="shared" si="41"/>
        <v>0</v>
      </c>
      <c r="I206" s="256">
        <f t="shared" si="41"/>
        <v>0</v>
      </c>
      <c r="J206" s="256">
        <f t="shared" ref="J206:U206" si="42">J160-I160</f>
        <v>0</v>
      </c>
      <c r="K206" s="256">
        <f t="shared" si="42"/>
        <v>0</v>
      </c>
      <c r="L206" s="256">
        <f t="shared" si="42"/>
        <v>0</v>
      </c>
      <c r="M206" s="256">
        <f t="shared" si="42"/>
        <v>0</v>
      </c>
      <c r="N206" s="256">
        <f t="shared" si="42"/>
        <v>37074.629999999997</v>
      </c>
      <c r="O206" s="256">
        <f t="shared" si="42"/>
        <v>73146.450000000012</v>
      </c>
      <c r="P206" s="256">
        <f t="shared" si="42"/>
        <v>-41922.300000000003</v>
      </c>
      <c r="Q206" s="256">
        <f t="shared" si="42"/>
        <v>-40925.509999999995</v>
      </c>
      <c r="R206" s="256">
        <f t="shared" si="42"/>
        <v>101418.68</v>
      </c>
      <c r="S206" s="256">
        <f t="shared" si="42"/>
        <v>6823.0900000000111</v>
      </c>
      <c r="T206" s="256">
        <f t="shared" si="42"/>
        <v>-128518.96</v>
      </c>
      <c r="U206" s="256">
        <f t="shared" si="42"/>
        <v>0</v>
      </c>
      <c r="V206" s="314"/>
    </row>
    <row r="207" spans="1:33" x14ac:dyDescent="0.2">
      <c r="A207" s="255" t="s">
        <v>502</v>
      </c>
      <c r="B207" s="156" t="s">
        <v>503</v>
      </c>
      <c r="C207" s="156">
        <v>7</v>
      </c>
      <c r="D207" s="157"/>
      <c r="E207" s="256">
        <f t="shared" ref="E207:I207" si="43">E28+E31</f>
        <v>553000</v>
      </c>
      <c r="F207" s="256">
        <f t="shared" si="43"/>
        <v>0</v>
      </c>
      <c r="G207" s="256">
        <f t="shared" si="43"/>
        <v>0</v>
      </c>
      <c r="H207" s="256">
        <f t="shared" si="43"/>
        <v>200791.9</v>
      </c>
      <c r="I207" s="256">
        <f t="shared" si="43"/>
        <v>6352</v>
      </c>
      <c r="J207" s="256">
        <f t="shared" ref="J207:O207" si="44">J28+J31</f>
        <v>0</v>
      </c>
      <c r="K207" s="256">
        <f t="shared" si="44"/>
        <v>0</v>
      </c>
      <c r="L207" s="256">
        <f t="shared" si="44"/>
        <v>0</v>
      </c>
      <c r="M207" s="256">
        <f t="shared" si="44"/>
        <v>402500</v>
      </c>
      <c r="N207" s="256">
        <f t="shared" si="44"/>
        <v>1350000</v>
      </c>
      <c r="O207" s="256">
        <f t="shared" si="44"/>
        <v>0</v>
      </c>
      <c r="P207" s="256">
        <f t="shared" ref="P207:Q207" si="45">P28+P31</f>
        <v>0</v>
      </c>
      <c r="Q207" s="256">
        <f t="shared" si="45"/>
        <v>2574329.2000000002</v>
      </c>
      <c r="R207" s="256">
        <f t="shared" ref="R207:S207" si="46">R28+R31</f>
        <v>0</v>
      </c>
      <c r="S207" s="256">
        <f t="shared" si="46"/>
        <v>1302280</v>
      </c>
      <c r="T207" s="256">
        <f t="shared" ref="T207:U207" si="47">T28+T31</f>
        <v>680890</v>
      </c>
      <c r="U207" s="256">
        <f t="shared" si="47"/>
        <v>151922.89000000001</v>
      </c>
      <c r="V207" s="314"/>
    </row>
    <row r="208" spans="1:33" x14ac:dyDescent="0.2">
      <c r="A208" s="255" t="s">
        <v>504</v>
      </c>
      <c r="B208" s="156" t="s">
        <v>505</v>
      </c>
      <c r="C208" s="156">
        <v>8</v>
      </c>
      <c r="D208" s="157"/>
      <c r="E208" s="256">
        <f t="shared" ref="E208:I208" si="48">E41</f>
        <v>0</v>
      </c>
      <c r="F208" s="256">
        <f t="shared" si="48"/>
        <v>0</v>
      </c>
      <c r="G208" s="256">
        <f t="shared" si="48"/>
        <v>0</v>
      </c>
      <c r="H208" s="256">
        <f t="shared" si="48"/>
        <v>0</v>
      </c>
      <c r="I208" s="256">
        <f t="shared" si="48"/>
        <v>0</v>
      </c>
      <c r="J208" s="256">
        <f t="shared" ref="J208:O208" si="49">J41</f>
        <v>0</v>
      </c>
      <c r="K208" s="256">
        <f t="shared" si="49"/>
        <v>0</v>
      </c>
      <c r="L208" s="256">
        <f t="shared" si="49"/>
        <v>0</v>
      </c>
      <c r="M208" s="256">
        <f t="shared" si="49"/>
        <v>0</v>
      </c>
      <c r="N208" s="256">
        <f t="shared" si="49"/>
        <v>0</v>
      </c>
      <c r="O208" s="256">
        <f t="shared" si="49"/>
        <v>0</v>
      </c>
      <c r="P208" s="256">
        <f t="shared" ref="P208:Q208" si="50">P41</f>
        <v>0</v>
      </c>
      <c r="Q208" s="256">
        <f t="shared" si="50"/>
        <v>0</v>
      </c>
      <c r="R208" s="256">
        <f t="shared" ref="R208:S208" si="51">R41</f>
        <v>0</v>
      </c>
      <c r="S208" s="256">
        <f t="shared" si="51"/>
        <v>0</v>
      </c>
      <c r="T208" s="256">
        <f t="shared" ref="T208:U208" si="52">T41</f>
        <v>0</v>
      </c>
      <c r="U208" s="256">
        <f t="shared" si="52"/>
        <v>0</v>
      </c>
      <c r="V208" s="314"/>
    </row>
    <row r="209" spans="1:22" x14ac:dyDescent="0.2">
      <c r="A209" s="255" t="s">
        <v>506</v>
      </c>
      <c r="B209" s="156" t="s">
        <v>507</v>
      </c>
      <c r="C209" s="156">
        <v>9</v>
      </c>
      <c r="D209" s="157"/>
      <c r="E209" s="256">
        <f t="shared" ref="E209:I209" si="53">E51-E50</f>
        <v>-3000</v>
      </c>
      <c r="F209" s="256">
        <f t="shared" si="53"/>
        <v>81670.02</v>
      </c>
      <c r="G209" s="256">
        <f t="shared" si="53"/>
        <v>43548.59</v>
      </c>
      <c r="H209" s="256">
        <f t="shared" si="53"/>
        <v>110376.01000000001</v>
      </c>
      <c r="I209" s="256">
        <f t="shared" si="53"/>
        <v>489373.75999999995</v>
      </c>
      <c r="J209" s="256">
        <f t="shared" ref="J209:O209" si="54">J51-J50</f>
        <v>583045.73</v>
      </c>
      <c r="K209" s="256">
        <f t="shared" si="54"/>
        <v>466539.23000000004</v>
      </c>
      <c r="L209" s="256">
        <f t="shared" si="54"/>
        <v>740011.74</v>
      </c>
      <c r="M209" s="256">
        <f t="shared" si="54"/>
        <v>836480.86</v>
      </c>
      <c r="N209" s="256">
        <f t="shared" si="54"/>
        <v>666124.06000000006</v>
      </c>
      <c r="O209" s="256">
        <f t="shared" si="54"/>
        <v>454665.94</v>
      </c>
      <c r="P209" s="256">
        <f t="shared" ref="P209:Q209" si="55">P51-P50</f>
        <v>366831.56</v>
      </c>
      <c r="Q209" s="256">
        <f t="shared" si="55"/>
        <v>190926.24</v>
      </c>
      <c r="R209" s="256">
        <f t="shared" ref="R209:S209" si="56">R51-R50</f>
        <v>307947.24</v>
      </c>
      <c r="S209" s="256">
        <f t="shared" si="56"/>
        <v>1376629.79</v>
      </c>
      <c r="T209" s="256">
        <f t="shared" ref="T209:U209" si="57">T51-T50</f>
        <v>954343.19</v>
      </c>
      <c r="U209" s="256">
        <f t="shared" si="57"/>
        <v>636974.64</v>
      </c>
      <c r="V209" s="314"/>
    </row>
    <row r="210" spans="1:22" ht="12" thickBot="1" x14ac:dyDescent="0.25">
      <c r="A210" s="257" t="s">
        <v>508</v>
      </c>
      <c r="B210" s="258" t="s">
        <v>509</v>
      </c>
      <c r="C210" s="258">
        <v>10</v>
      </c>
      <c r="D210" s="259"/>
      <c r="E210" s="260"/>
      <c r="F210" s="260"/>
      <c r="G210" s="260"/>
      <c r="H210" s="260"/>
      <c r="I210" s="260"/>
      <c r="J210" s="260"/>
      <c r="K210" s="260"/>
      <c r="L210" s="260"/>
      <c r="M210" s="260"/>
      <c r="N210" s="260"/>
      <c r="O210" s="260"/>
      <c r="P210" s="260"/>
      <c r="Q210" s="260"/>
      <c r="R210" s="260"/>
      <c r="S210" s="260"/>
      <c r="T210" s="260"/>
      <c r="U210" s="260"/>
      <c r="V210" s="314"/>
    </row>
    <row r="211" spans="1:22" ht="12" thickBot="1" x14ac:dyDescent="0.25">
      <c r="A211" s="261" t="s">
        <v>510</v>
      </c>
      <c r="B211" s="261" t="s">
        <v>511</v>
      </c>
      <c r="C211" s="261">
        <v>11</v>
      </c>
      <c r="D211" s="262"/>
      <c r="E211" s="262">
        <f t="shared" ref="E211:I211" si="58">E203+E204</f>
        <v>16556000</v>
      </c>
      <c r="F211" s="262">
        <f t="shared" si="58"/>
        <v>8351382.5199999996</v>
      </c>
      <c r="G211" s="262">
        <f t="shared" si="58"/>
        <v>3032002.9599999995</v>
      </c>
      <c r="H211" s="262">
        <f t="shared" si="58"/>
        <v>26339549.979999997</v>
      </c>
      <c r="I211" s="262">
        <f t="shared" si="58"/>
        <v>30180904.329999998</v>
      </c>
      <c r="J211" s="262">
        <f t="shared" ref="J211:O211" si="59">J203+J204</f>
        <v>63459062.679999992</v>
      </c>
      <c r="K211" s="262">
        <f t="shared" si="59"/>
        <v>75565402.399999991</v>
      </c>
      <c r="L211" s="262">
        <f t="shared" si="59"/>
        <v>103384845.84999999</v>
      </c>
      <c r="M211" s="262">
        <f t="shared" si="59"/>
        <v>108704074.25</v>
      </c>
      <c r="N211" s="262">
        <f t="shared" si="59"/>
        <v>100990158.39999999</v>
      </c>
      <c r="O211" s="262">
        <f t="shared" si="59"/>
        <v>97831045.159999996</v>
      </c>
      <c r="P211" s="262">
        <f t="shared" ref="P211:Q211" si="60">P203+P204</f>
        <v>91264452.450000003</v>
      </c>
      <c r="Q211" s="262">
        <f t="shared" si="60"/>
        <v>51457456.38000001</v>
      </c>
      <c r="R211" s="262">
        <f t="shared" ref="R211:S211" si="61">R203+R204</f>
        <v>47268945.490000002</v>
      </c>
      <c r="S211" s="262">
        <f t="shared" si="61"/>
        <v>42465358.799999997</v>
      </c>
      <c r="T211" s="262">
        <f t="shared" ref="T211:U211" si="62">T203+T204</f>
        <v>60700066.170000002</v>
      </c>
      <c r="U211" s="262">
        <f t="shared" si="62"/>
        <v>29926376.07</v>
      </c>
      <c r="V211" s="314"/>
    </row>
    <row r="212" spans="1:22" x14ac:dyDescent="0.2">
      <c r="A212" s="251" t="s">
        <v>512</v>
      </c>
      <c r="B212" s="252" t="s">
        <v>513</v>
      </c>
      <c r="C212" s="252">
        <v>12</v>
      </c>
      <c r="D212" s="253"/>
      <c r="E212" s="254">
        <f t="shared" ref="E212:I212" si="63">E213+E214+E215+E216</f>
        <v>-6360000</v>
      </c>
      <c r="F212" s="254">
        <f t="shared" si="63"/>
        <v>-3607406.7499999977</v>
      </c>
      <c r="G212" s="254">
        <f t="shared" si="63"/>
        <v>3555703.7399999965</v>
      </c>
      <c r="H212" s="254">
        <f t="shared" si="63"/>
        <v>2972382.5100000007</v>
      </c>
      <c r="I212" s="254">
        <f t="shared" si="63"/>
        <v>12985940.930000002</v>
      </c>
      <c r="J212" s="254">
        <f t="shared" ref="J212:O212" si="64">J213+J214+J215+J216</f>
        <v>4698233.120000002</v>
      </c>
      <c r="K212" s="254">
        <f t="shared" si="64"/>
        <v>13474107.999999989</v>
      </c>
      <c r="L212" s="254">
        <f t="shared" si="64"/>
        <v>-17715734.699999984</v>
      </c>
      <c r="M212" s="254">
        <f t="shared" si="64"/>
        <v>-1936180.9600000056</v>
      </c>
      <c r="N212" s="254">
        <f t="shared" si="64"/>
        <v>43618386.630000003</v>
      </c>
      <c r="O212" s="254">
        <f t="shared" si="64"/>
        <v>-59896624.840000004</v>
      </c>
      <c r="P212" s="254">
        <f t="shared" ref="P212:Q212" si="65">P213+P214+P215+P216</f>
        <v>-7415042.7000000067</v>
      </c>
      <c r="Q212" s="254">
        <f t="shared" si="65"/>
        <v>-19534832.959999997</v>
      </c>
      <c r="R212" s="254">
        <f t="shared" ref="R212:S212" si="66">R213+R214+R215+R216</f>
        <v>139247373.97999996</v>
      </c>
      <c r="S212" s="254">
        <f t="shared" si="66"/>
        <v>-34334799.920000002</v>
      </c>
      <c r="T212" s="254">
        <f t="shared" ref="T212:U212" si="67">T213+T214+T215+T216</f>
        <v>-36953276.189999998</v>
      </c>
      <c r="U212" s="254">
        <f t="shared" si="67"/>
        <v>-12155072.660000006</v>
      </c>
      <c r="V212" s="314"/>
    </row>
    <row r="213" spans="1:22" x14ac:dyDescent="0.2">
      <c r="A213" s="255" t="s">
        <v>514</v>
      </c>
      <c r="B213" s="156" t="s">
        <v>515</v>
      </c>
      <c r="C213" s="156">
        <v>13</v>
      </c>
      <c r="D213" s="157"/>
      <c r="E213" s="256">
        <f t="shared" ref="E213:I213" si="68">D113-E113+D122-E122+D137-E137</f>
        <v>-20149000</v>
      </c>
      <c r="F213" s="256">
        <f t="shared" si="68"/>
        <v>-10616702.229999997</v>
      </c>
      <c r="G213" s="256">
        <f t="shared" si="68"/>
        <v>-3134268.6000000034</v>
      </c>
      <c r="H213" s="256">
        <f t="shared" si="68"/>
        <v>-332841.48999999743</v>
      </c>
      <c r="I213" s="256">
        <f t="shared" si="68"/>
        <v>9136409.2799999975</v>
      </c>
      <c r="J213" s="256">
        <f t="shared" ref="J213:U213" si="69">I113-J113+I122-J122+I137-J137</f>
        <v>-18029020.219999995</v>
      </c>
      <c r="K213" s="256">
        <f t="shared" si="69"/>
        <v>11155419.079999991</v>
      </c>
      <c r="L213" s="256">
        <f t="shared" si="69"/>
        <v>-15370794.00999999</v>
      </c>
      <c r="M213" s="256">
        <f t="shared" si="69"/>
        <v>11717475.999999994</v>
      </c>
      <c r="N213" s="256">
        <f t="shared" si="69"/>
        <v>-16460238.260000004</v>
      </c>
      <c r="O213" s="256">
        <f t="shared" si="69"/>
        <v>-11235281.859999992</v>
      </c>
      <c r="P213" s="256">
        <f t="shared" si="69"/>
        <v>32862394.249999993</v>
      </c>
      <c r="Q213" s="256">
        <f t="shared" si="69"/>
        <v>-2739814.4299999969</v>
      </c>
      <c r="R213" s="256">
        <f t="shared" si="69"/>
        <v>3676190.7999999956</v>
      </c>
      <c r="S213" s="256">
        <f t="shared" si="69"/>
        <v>-17896369.640000004</v>
      </c>
      <c r="T213" s="256">
        <f t="shared" si="69"/>
        <v>9087920.2900000066</v>
      </c>
      <c r="U213" s="256">
        <f t="shared" si="69"/>
        <v>16171331.479999997</v>
      </c>
      <c r="V213" s="314"/>
    </row>
    <row r="214" spans="1:22" x14ac:dyDescent="0.2">
      <c r="A214" s="255" t="s">
        <v>516</v>
      </c>
      <c r="B214" s="156" t="s">
        <v>517</v>
      </c>
      <c r="C214" s="156">
        <v>14</v>
      </c>
      <c r="D214" s="157"/>
      <c r="E214" s="256">
        <f t="shared" ref="E214:I214" si="70">E176-D176+E188-D188+E192-D192</f>
        <v>13837000</v>
      </c>
      <c r="F214" s="256">
        <f t="shared" si="70"/>
        <v>7121437.459999999</v>
      </c>
      <c r="G214" s="256">
        <f t="shared" si="70"/>
        <v>6774156.3399999999</v>
      </c>
      <c r="H214" s="256">
        <f t="shared" si="70"/>
        <v>3380671.649999998</v>
      </c>
      <c r="I214" s="256">
        <f t="shared" si="70"/>
        <v>3955508.320000004</v>
      </c>
      <c r="J214" s="256">
        <f t="shared" ref="J214:U214" si="71">J176-I176+J188-I188+J192-I192</f>
        <v>22867990.279999997</v>
      </c>
      <c r="K214" s="256">
        <f t="shared" si="71"/>
        <v>2447274.6199999964</v>
      </c>
      <c r="L214" s="256">
        <f t="shared" si="71"/>
        <v>-1800458.9199999941</v>
      </c>
      <c r="M214" s="256">
        <f t="shared" si="71"/>
        <v>-12571138.41</v>
      </c>
      <c r="N214" s="256">
        <f t="shared" si="71"/>
        <v>59947289.510000005</v>
      </c>
      <c r="O214" s="256">
        <f t="shared" si="71"/>
        <v>-48392903.030000009</v>
      </c>
      <c r="P214" s="256">
        <f t="shared" si="71"/>
        <v>-40213604.43</v>
      </c>
      <c r="Q214" s="256">
        <f t="shared" si="71"/>
        <v>-17083314.210000001</v>
      </c>
      <c r="R214" s="256">
        <f t="shared" si="71"/>
        <v>135825098.50999999</v>
      </c>
      <c r="S214" s="256">
        <f t="shared" si="71"/>
        <v>-16402032.469999995</v>
      </c>
      <c r="T214" s="256">
        <f t="shared" si="71"/>
        <v>-46322122.350000001</v>
      </c>
      <c r="U214" s="256">
        <f t="shared" si="71"/>
        <v>-29786348.880000003</v>
      </c>
      <c r="V214" s="314"/>
    </row>
    <row r="215" spans="1:22" x14ac:dyDescent="0.2">
      <c r="A215" s="255" t="s">
        <v>518</v>
      </c>
      <c r="B215" s="156" t="s">
        <v>519</v>
      </c>
      <c r="C215" s="156">
        <v>15</v>
      </c>
      <c r="D215" s="157"/>
      <c r="E215" s="256">
        <f t="shared" ref="E215:I215" si="72">D106-E106</f>
        <v>-48000</v>
      </c>
      <c r="F215" s="256">
        <f t="shared" si="72"/>
        <v>-112141.98000000001</v>
      </c>
      <c r="G215" s="256">
        <f t="shared" si="72"/>
        <v>-84183.999999999971</v>
      </c>
      <c r="H215" s="256">
        <f t="shared" si="72"/>
        <v>-75447.650000000023</v>
      </c>
      <c r="I215" s="256">
        <f t="shared" si="72"/>
        <v>-105976.66999999998</v>
      </c>
      <c r="J215" s="256">
        <f t="shared" ref="J215:U215" si="73">I106-J106</f>
        <v>-140736.94</v>
      </c>
      <c r="K215" s="256">
        <f t="shared" si="73"/>
        <v>-128585.69999999995</v>
      </c>
      <c r="L215" s="256">
        <f t="shared" si="73"/>
        <v>-544481.77</v>
      </c>
      <c r="M215" s="256">
        <f t="shared" si="73"/>
        <v>-1082518.5499999998</v>
      </c>
      <c r="N215" s="256">
        <f t="shared" si="73"/>
        <v>131335.37999999989</v>
      </c>
      <c r="O215" s="256">
        <f t="shared" si="73"/>
        <v>-268439.95000000019</v>
      </c>
      <c r="P215" s="256">
        <f t="shared" si="73"/>
        <v>-63832.520000000019</v>
      </c>
      <c r="Q215" s="256">
        <f t="shared" si="73"/>
        <v>288295.68000000017</v>
      </c>
      <c r="R215" s="256">
        <f t="shared" si="73"/>
        <v>-253915.33000000007</v>
      </c>
      <c r="S215" s="256">
        <f t="shared" si="73"/>
        <v>-36397.810000000056</v>
      </c>
      <c r="T215" s="256">
        <f t="shared" si="73"/>
        <v>280925.87000000011</v>
      </c>
      <c r="U215" s="256">
        <f t="shared" si="73"/>
        <v>1459944.74</v>
      </c>
      <c r="V215" s="314"/>
    </row>
    <row r="216" spans="1:22" ht="12" thickBot="1" x14ac:dyDescent="0.25">
      <c r="A216" s="257" t="s">
        <v>520</v>
      </c>
      <c r="B216" s="258" t="s">
        <v>521</v>
      </c>
      <c r="C216" s="258">
        <v>16</v>
      </c>
      <c r="D216" s="259"/>
      <c r="E216" s="260"/>
      <c r="F216" s="260"/>
      <c r="G216" s="260"/>
      <c r="H216" s="260"/>
      <c r="I216" s="260"/>
      <c r="J216" s="260"/>
      <c r="K216" s="260"/>
      <c r="L216" s="260"/>
      <c r="M216" s="260"/>
      <c r="N216" s="260"/>
      <c r="O216" s="260"/>
      <c r="P216" s="260"/>
      <c r="Q216" s="260"/>
      <c r="R216" s="260"/>
      <c r="S216" s="260"/>
      <c r="T216" s="260"/>
      <c r="U216" s="260"/>
      <c r="V216" s="314"/>
    </row>
    <row r="217" spans="1:22" x14ac:dyDescent="0.2">
      <c r="A217" s="251" t="s">
        <v>522</v>
      </c>
      <c r="B217" s="252" t="s">
        <v>523</v>
      </c>
      <c r="C217" s="252">
        <v>17</v>
      </c>
      <c r="D217" s="253"/>
      <c r="E217" s="254">
        <f t="shared" ref="E217:I217" si="74">E211+E212</f>
        <v>10196000</v>
      </c>
      <c r="F217" s="254">
        <f t="shared" si="74"/>
        <v>4743975.7700000014</v>
      </c>
      <c r="G217" s="254">
        <f t="shared" si="74"/>
        <v>6587706.6999999955</v>
      </c>
      <c r="H217" s="254">
        <f t="shared" si="74"/>
        <v>29311932.489999998</v>
      </c>
      <c r="I217" s="254">
        <f t="shared" si="74"/>
        <v>43166845.259999998</v>
      </c>
      <c r="J217" s="254">
        <f t="shared" ref="J217:O217" si="75">J211+J212</f>
        <v>68157295.799999997</v>
      </c>
      <c r="K217" s="254">
        <f t="shared" si="75"/>
        <v>89039510.399999976</v>
      </c>
      <c r="L217" s="254">
        <f t="shared" si="75"/>
        <v>85669111.150000006</v>
      </c>
      <c r="M217" s="254">
        <f t="shared" si="75"/>
        <v>106767893.28999999</v>
      </c>
      <c r="N217" s="254">
        <f t="shared" si="75"/>
        <v>144608545.03</v>
      </c>
      <c r="O217" s="254">
        <f t="shared" si="75"/>
        <v>37934420.319999993</v>
      </c>
      <c r="P217" s="254">
        <f t="shared" ref="P217:Q217" si="76">P211+P212</f>
        <v>83849409.75</v>
      </c>
      <c r="Q217" s="254">
        <f t="shared" si="76"/>
        <v>31922623.420000013</v>
      </c>
      <c r="R217" s="254">
        <f t="shared" ref="R217:S217" si="77">R211+R212</f>
        <v>186516319.46999997</v>
      </c>
      <c r="S217" s="254">
        <f t="shared" si="77"/>
        <v>8130558.8799999952</v>
      </c>
      <c r="T217" s="254">
        <f t="shared" ref="T217:U217" si="78">T211+T212</f>
        <v>23746789.980000004</v>
      </c>
      <c r="U217" s="254">
        <f t="shared" si="78"/>
        <v>17771303.409999996</v>
      </c>
      <c r="V217" s="314"/>
    </row>
    <row r="218" spans="1:22" x14ac:dyDescent="0.2">
      <c r="A218" s="255" t="s">
        <v>524</v>
      </c>
      <c r="B218" s="156" t="s">
        <v>525</v>
      </c>
      <c r="C218" s="156">
        <v>18</v>
      </c>
      <c r="D218" s="157"/>
      <c r="E218" s="256">
        <f t="shared" ref="E218:I218" si="79">-1*E51</f>
        <v>-1000</v>
      </c>
      <c r="F218" s="256">
        <f t="shared" si="79"/>
        <v>-89913.75</v>
      </c>
      <c r="G218" s="256">
        <f t="shared" si="79"/>
        <v>-46155.89</v>
      </c>
      <c r="H218" s="256">
        <f t="shared" si="79"/>
        <v>-114120.3</v>
      </c>
      <c r="I218" s="256">
        <f t="shared" si="79"/>
        <v>-493245.6</v>
      </c>
      <c r="J218" s="256">
        <f t="shared" ref="J218:O218" si="80">-1*J51</f>
        <v>-583935.5</v>
      </c>
      <c r="K218" s="256">
        <f t="shared" si="80"/>
        <v>-467092.58</v>
      </c>
      <c r="L218" s="256">
        <f t="shared" si="80"/>
        <v>-747832.12</v>
      </c>
      <c r="M218" s="256">
        <f t="shared" si="80"/>
        <v>-836734.27</v>
      </c>
      <c r="N218" s="256">
        <f t="shared" si="80"/>
        <v>-666206.06000000006</v>
      </c>
      <c r="O218" s="256">
        <f t="shared" si="80"/>
        <v>-454991.94</v>
      </c>
      <c r="P218" s="256">
        <f t="shared" ref="P218:Q218" si="81">-1*P51</f>
        <v>-368334.56</v>
      </c>
      <c r="Q218" s="256">
        <f t="shared" si="81"/>
        <v>-191470.24</v>
      </c>
      <c r="R218" s="256">
        <f t="shared" ref="R218:S218" si="82">-1*R51</f>
        <v>-308575.24</v>
      </c>
      <c r="S218" s="256">
        <f t="shared" si="82"/>
        <v>-1379429.79</v>
      </c>
      <c r="T218" s="256">
        <f t="shared" ref="T218:U218" si="83">-1*T51</f>
        <v>-957623.19</v>
      </c>
      <c r="U218" s="256">
        <f t="shared" si="83"/>
        <v>-636974.64</v>
      </c>
      <c r="V218" s="314"/>
    </row>
    <row r="219" spans="1:22" x14ac:dyDescent="0.2">
      <c r="A219" s="255" t="s">
        <v>526</v>
      </c>
      <c r="B219" s="156" t="s">
        <v>527</v>
      </c>
      <c r="C219" s="156">
        <v>19</v>
      </c>
      <c r="D219" s="157"/>
      <c r="E219" s="256">
        <f t="shared" ref="E219:I219" si="84">E50</f>
        <v>4000</v>
      </c>
      <c r="F219" s="256">
        <f t="shared" si="84"/>
        <v>8243.73</v>
      </c>
      <c r="G219" s="256">
        <f t="shared" si="84"/>
        <v>2607.3000000000002</v>
      </c>
      <c r="H219" s="256">
        <f t="shared" si="84"/>
        <v>3744.29</v>
      </c>
      <c r="I219" s="256">
        <f t="shared" si="84"/>
        <v>3871.84</v>
      </c>
      <c r="J219" s="256">
        <f t="shared" ref="J219:O219" si="85">J50</f>
        <v>889.77</v>
      </c>
      <c r="K219" s="256">
        <f t="shared" si="85"/>
        <v>553.35</v>
      </c>
      <c r="L219" s="256">
        <f t="shared" si="85"/>
        <v>7820.38</v>
      </c>
      <c r="M219" s="256">
        <f t="shared" si="85"/>
        <v>253.41</v>
      </c>
      <c r="N219" s="256">
        <f t="shared" si="85"/>
        <v>82</v>
      </c>
      <c r="O219" s="256">
        <f t="shared" si="85"/>
        <v>326</v>
      </c>
      <c r="P219" s="256">
        <f t="shared" ref="P219:Q219" si="86">P50</f>
        <v>1503</v>
      </c>
      <c r="Q219" s="256">
        <f t="shared" si="86"/>
        <v>544</v>
      </c>
      <c r="R219" s="256">
        <f t="shared" ref="R219:S219" si="87">R50</f>
        <v>628</v>
      </c>
      <c r="S219" s="256">
        <f t="shared" si="87"/>
        <v>2800</v>
      </c>
      <c r="T219" s="256">
        <f t="shared" ref="T219:U219" si="88">T50</f>
        <v>3280</v>
      </c>
      <c r="U219" s="256">
        <f t="shared" si="88"/>
        <v>0</v>
      </c>
      <c r="V219" s="314"/>
    </row>
    <row r="220" spans="1:22" x14ac:dyDescent="0.2">
      <c r="A220" s="255" t="s">
        <v>528</v>
      </c>
      <c r="B220" s="156" t="s">
        <v>529</v>
      </c>
      <c r="C220" s="156">
        <v>20</v>
      </c>
      <c r="D220" s="157"/>
      <c r="E220" s="256">
        <f t="shared" ref="E220:I220" si="89">-1*E57</f>
        <v>-2704000</v>
      </c>
      <c r="F220" s="256">
        <f t="shared" si="89"/>
        <v>-2585200</v>
      </c>
      <c r="G220" s="256">
        <f t="shared" si="89"/>
        <v>-72760</v>
      </c>
      <c r="H220" s="256">
        <f t="shared" si="89"/>
        <v>-2683800</v>
      </c>
      <c r="I220" s="256">
        <f t="shared" si="89"/>
        <v>-825320</v>
      </c>
      <c r="J220" s="256">
        <f t="shared" ref="J220:O220" si="90">-1*J57</f>
        <v>-4177720</v>
      </c>
      <c r="K220" s="256">
        <f t="shared" si="90"/>
        <v>-4813000</v>
      </c>
      <c r="L220" s="256">
        <f t="shared" si="90"/>
        <v>-6466220</v>
      </c>
      <c r="M220" s="256">
        <f t="shared" si="90"/>
        <v>-2668462.36</v>
      </c>
      <c r="N220" s="256">
        <f t="shared" si="90"/>
        <v>-1300608.9099999999</v>
      </c>
      <c r="O220" s="256">
        <f t="shared" si="90"/>
        <v>-3485393.79</v>
      </c>
      <c r="P220" s="256">
        <f t="shared" ref="P220:Q220" si="91">-1*P57</f>
        <v>-4242229.47</v>
      </c>
      <c r="Q220" s="256">
        <f t="shared" si="91"/>
        <v>-205537.04</v>
      </c>
      <c r="R220" s="256">
        <f t="shared" ref="R220:S220" si="92">-1*R57</f>
        <v>-98490.72</v>
      </c>
      <c r="S220" s="256">
        <f t="shared" si="92"/>
        <v>-105709.86</v>
      </c>
      <c r="T220" s="256">
        <f t="shared" ref="T220:U220" si="93">-1*T57</f>
        <v>-1079426.02</v>
      </c>
      <c r="U220" s="256">
        <f t="shared" si="93"/>
        <v>0</v>
      </c>
      <c r="V220" s="314"/>
    </row>
    <row r="221" spans="1:22" x14ac:dyDescent="0.2">
      <c r="A221" s="255" t="s">
        <v>530</v>
      </c>
      <c r="B221" s="156" t="s">
        <v>531</v>
      </c>
      <c r="C221" s="156">
        <v>21</v>
      </c>
      <c r="D221" s="157"/>
      <c r="E221" s="256">
        <f t="shared" ref="E221:I221" si="94">E66</f>
        <v>0</v>
      </c>
      <c r="F221" s="256">
        <f t="shared" si="94"/>
        <v>0</v>
      </c>
      <c r="G221" s="256">
        <f t="shared" si="94"/>
        <v>0</v>
      </c>
      <c r="H221" s="256">
        <f t="shared" si="94"/>
        <v>0</v>
      </c>
      <c r="I221" s="256">
        <f t="shared" si="94"/>
        <v>0</v>
      </c>
      <c r="J221" s="256">
        <f t="shared" ref="J221:O221" si="95">J66</f>
        <v>0</v>
      </c>
      <c r="K221" s="256">
        <f t="shared" si="95"/>
        <v>0</v>
      </c>
      <c r="L221" s="256">
        <f t="shared" si="95"/>
        <v>0</v>
      </c>
      <c r="M221" s="256">
        <f t="shared" si="95"/>
        <v>0</v>
      </c>
      <c r="N221" s="256">
        <f t="shared" si="95"/>
        <v>26346</v>
      </c>
      <c r="O221" s="256">
        <f t="shared" si="95"/>
        <v>239514</v>
      </c>
      <c r="P221" s="256">
        <f t="shared" ref="P221:Q221" si="96">P66</f>
        <v>-41638</v>
      </c>
      <c r="Q221" s="256">
        <f t="shared" si="96"/>
        <v>86913</v>
      </c>
      <c r="R221" s="256">
        <f t="shared" ref="R221:S221" si="97">R66</f>
        <v>1461414.37</v>
      </c>
      <c r="S221" s="256">
        <f t="shared" si="97"/>
        <v>72418</v>
      </c>
      <c r="T221" s="256">
        <f t="shared" ref="T221:U221" si="98">T66</f>
        <v>-20828.68</v>
      </c>
      <c r="U221" s="256">
        <f t="shared" si="98"/>
        <v>-80627</v>
      </c>
      <c r="V221" s="314"/>
    </row>
    <row r="222" spans="1:22" ht="12" thickBot="1" x14ac:dyDescent="0.25">
      <c r="A222" s="257" t="s">
        <v>532</v>
      </c>
      <c r="B222" s="258" t="s">
        <v>533</v>
      </c>
      <c r="C222" s="258">
        <v>22</v>
      </c>
      <c r="D222" s="259"/>
      <c r="E222" s="260">
        <f t="shared" ref="E222:I222" si="99">SUM(E217:E221)</f>
        <v>7495000</v>
      </c>
      <c r="F222" s="260">
        <f t="shared" si="99"/>
        <v>2077105.7500000019</v>
      </c>
      <c r="G222" s="260">
        <f t="shared" si="99"/>
        <v>6471398.1099999957</v>
      </c>
      <c r="H222" s="260">
        <f t="shared" si="99"/>
        <v>26517756.479999997</v>
      </c>
      <c r="I222" s="260">
        <f t="shared" si="99"/>
        <v>41852151.5</v>
      </c>
      <c r="J222" s="260">
        <f t="shared" ref="J222:O222" si="100">SUM(J217:J221)</f>
        <v>63396530.069999993</v>
      </c>
      <c r="K222" s="260">
        <f t="shared" si="100"/>
        <v>83759971.169999972</v>
      </c>
      <c r="L222" s="260">
        <f t="shared" si="100"/>
        <v>78462879.409999996</v>
      </c>
      <c r="M222" s="260">
        <f t="shared" si="100"/>
        <v>103262950.06999999</v>
      </c>
      <c r="N222" s="260">
        <f t="shared" si="100"/>
        <v>142668158.06</v>
      </c>
      <c r="O222" s="260">
        <f t="shared" si="100"/>
        <v>34233874.589999996</v>
      </c>
      <c r="P222" s="260">
        <f t="shared" ref="P222:Q222" si="101">SUM(P217:P221)</f>
        <v>79198710.719999999</v>
      </c>
      <c r="Q222" s="260">
        <f t="shared" si="101"/>
        <v>31613073.140000015</v>
      </c>
      <c r="R222" s="260">
        <f t="shared" ref="R222:S222" si="102">SUM(R217:R221)</f>
        <v>187571295.87999997</v>
      </c>
      <c r="S222" s="260">
        <f t="shared" si="102"/>
        <v>6720637.2299999949</v>
      </c>
      <c r="T222" s="260">
        <f t="shared" ref="T222:U222" si="103">SUM(T217:T221)</f>
        <v>21692192.090000004</v>
      </c>
      <c r="U222" s="260">
        <f t="shared" si="103"/>
        <v>17053701.769999996</v>
      </c>
      <c r="V222" s="314"/>
    </row>
    <row r="223" spans="1:22" x14ac:dyDescent="0.2">
      <c r="A223" s="263" t="s">
        <v>534</v>
      </c>
      <c r="B223" s="264" t="s">
        <v>535</v>
      </c>
      <c r="C223" s="264">
        <v>23</v>
      </c>
      <c r="D223" s="265"/>
      <c r="E223" s="266"/>
      <c r="F223" s="266"/>
      <c r="G223" s="266"/>
      <c r="H223" s="266"/>
      <c r="I223" s="266"/>
      <c r="J223" s="266"/>
      <c r="K223" s="266"/>
      <c r="L223" s="266"/>
      <c r="M223" s="266"/>
      <c r="N223" s="266"/>
      <c r="O223" s="266"/>
      <c r="P223" s="266"/>
      <c r="Q223" s="266"/>
      <c r="R223" s="266"/>
      <c r="S223" s="266"/>
      <c r="T223" s="266"/>
      <c r="U223" s="266"/>
      <c r="V223" s="315"/>
    </row>
    <row r="224" spans="1:22" x14ac:dyDescent="0.2">
      <c r="A224" s="255" t="s">
        <v>536</v>
      </c>
      <c r="B224" s="156" t="s">
        <v>537</v>
      </c>
      <c r="C224" s="156">
        <v>24</v>
      </c>
      <c r="D224" s="157"/>
      <c r="E224" s="256">
        <f t="shared" ref="E224:I224" si="104">D77-E77-E26</f>
        <v>-4502000</v>
      </c>
      <c r="F224" s="256">
        <f t="shared" si="104"/>
        <v>-8405261.7200000007</v>
      </c>
      <c r="G224" s="256">
        <f t="shared" si="104"/>
        <v>-5885089.9800000004</v>
      </c>
      <c r="H224" s="256">
        <f t="shared" si="104"/>
        <v>-23081870.109999999</v>
      </c>
      <c r="I224" s="256">
        <f t="shared" si="104"/>
        <v>-59955728.280000001</v>
      </c>
      <c r="J224" s="256">
        <f t="shared" ref="J224:U224" si="105">I77-J77-J26</f>
        <v>-72786108.329999998</v>
      </c>
      <c r="K224" s="256">
        <f t="shared" si="105"/>
        <v>-72938285.349999994</v>
      </c>
      <c r="L224" s="256">
        <f t="shared" si="105"/>
        <v>-120465863.15999998</v>
      </c>
      <c r="M224" s="256">
        <f t="shared" si="105"/>
        <v>-143212595.08000004</v>
      </c>
      <c r="N224" s="256">
        <f t="shared" si="105"/>
        <v>-41373946.919999987</v>
      </c>
      <c r="O224" s="256">
        <f t="shared" si="105"/>
        <v>-51568136.210000008</v>
      </c>
      <c r="P224" s="256">
        <f t="shared" si="105"/>
        <v>-43600757.589999989</v>
      </c>
      <c r="Q224" s="256">
        <f t="shared" si="105"/>
        <v>-25410933.020000003</v>
      </c>
      <c r="R224" s="256">
        <f t="shared" si="105"/>
        <v>-181027214.51000002</v>
      </c>
      <c r="S224" s="256">
        <f t="shared" si="105"/>
        <v>-16590566.679999985</v>
      </c>
      <c r="T224" s="256">
        <f t="shared" si="105"/>
        <v>-4264032.7199999988</v>
      </c>
      <c r="U224" s="256">
        <f t="shared" si="105"/>
        <v>-15408736.500000019</v>
      </c>
      <c r="V224" s="314"/>
    </row>
    <row r="225" spans="1:22" x14ac:dyDescent="0.2">
      <c r="A225" s="255" t="s">
        <v>538</v>
      </c>
      <c r="B225" s="156" t="s">
        <v>539</v>
      </c>
      <c r="C225" s="156">
        <v>25</v>
      </c>
      <c r="D225" s="157"/>
      <c r="E225" s="256">
        <f t="shared" ref="E225:I225" si="106">E28-E31</f>
        <v>-339000</v>
      </c>
      <c r="F225" s="256">
        <f t="shared" si="106"/>
        <v>0</v>
      </c>
      <c r="G225" s="256">
        <f t="shared" si="106"/>
        <v>0</v>
      </c>
      <c r="H225" s="256">
        <f t="shared" si="106"/>
        <v>199208.1</v>
      </c>
      <c r="I225" s="256">
        <f t="shared" si="106"/>
        <v>-6352</v>
      </c>
      <c r="J225" s="256">
        <f t="shared" ref="J225:O225" si="107">J28-J31</f>
        <v>0</v>
      </c>
      <c r="K225" s="256">
        <f t="shared" si="107"/>
        <v>0</v>
      </c>
      <c r="L225" s="256">
        <f t="shared" si="107"/>
        <v>0</v>
      </c>
      <c r="M225" s="256">
        <f t="shared" si="107"/>
        <v>402500</v>
      </c>
      <c r="N225" s="256">
        <f t="shared" si="107"/>
        <v>1350000</v>
      </c>
      <c r="O225" s="256">
        <f t="shared" si="107"/>
        <v>0</v>
      </c>
      <c r="P225" s="256">
        <f t="shared" ref="P225:Q225" si="108">P28-P31</f>
        <v>0</v>
      </c>
      <c r="Q225" s="256">
        <f t="shared" si="108"/>
        <v>1414137.2</v>
      </c>
      <c r="R225" s="256">
        <f t="shared" ref="R225:S225" si="109">R28-R31</f>
        <v>0</v>
      </c>
      <c r="S225" s="256">
        <f t="shared" si="109"/>
        <v>1302280</v>
      </c>
      <c r="T225" s="256">
        <f t="shared" ref="T225:U225" si="110">T28-T31</f>
        <v>680890</v>
      </c>
      <c r="U225" s="256">
        <f t="shared" si="110"/>
        <v>151922.89000000001</v>
      </c>
      <c r="V225" s="314"/>
    </row>
    <row r="226" spans="1:22" x14ac:dyDescent="0.2">
      <c r="A226" s="255" t="s">
        <v>540</v>
      </c>
      <c r="B226" s="156" t="s">
        <v>541</v>
      </c>
      <c r="C226" s="156">
        <v>26</v>
      </c>
      <c r="D226" s="157"/>
      <c r="E226" s="256"/>
      <c r="F226" s="256"/>
      <c r="G226" s="256"/>
      <c r="H226" s="256"/>
      <c r="I226" s="256"/>
      <c r="J226" s="256"/>
      <c r="K226" s="256"/>
      <c r="L226" s="256"/>
      <c r="M226" s="256"/>
      <c r="N226" s="256"/>
      <c r="O226" s="256"/>
      <c r="P226" s="256"/>
      <c r="Q226" s="256"/>
      <c r="R226" s="256"/>
      <c r="S226" s="256"/>
      <c r="T226" s="256"/>
      <c r="U226" s="256"/>
      <c r="V226" s="314"/>
    </row>
    <row r="227" spans="1:22" x14ac:dyDescent="0.2">
      <c r="A227" s="255" t="s">
        <v>542</v>
      </c>
      <c r="B227" s="156" t="s">
        <v>543</v>
      </c>
      <c r="C227" s="156">
        <v>27</v>
      </c>
      <c r="D227" s="157"/>
      <c r="E227" s="256"/>
      <c r="F227" s="256"/>
      <c r="G227" s="256"/>
      <c r="H227" s="256"/>
      <c r="I227" s="256"/>
      <c r="J227" s="256"/>
      <c r="K227" s="256"/>
      <c r="L227" s="256"/>
      <c r="M227" s="256"/>
      <c r="N227" s="256"/>
      <c r="O227" s="256"/>
      <c r="P227" s="256"/>
      <c r="Q227" s="256"/>
      <c r="R227" s="256"/>
      <c r="S227" s="256"/>
      <c r="T227" s="256"/>
      <c r="U227" s="256"/>
      <c r="V227" s="314"/>
    </row>
    <row r="228" spans="1:22" ht="12" thickBot="1" x14ac:dyDescent="0.25">
      <c r="A228" s="257" t="s">
        <v>544</v>
      </c>
      <c r="B228" s="258" t="s">
        <v>126</v>
      </c>
      <c r="C228" s="258">
        <v>28</v>
      </c>
      <c r="D228" s="259"/>
      <c r="E228" s="260">
        <f t="shared" ref="E228:I228" si="111">SUM(E224:E227)</f>
        <v>-4841000</v>
      </c>
      <c r="F228" s="260">
        <f t="shared" si="111"/>
        <v>-8405261.7200000007</v>
      </c>
      <c r="G228" s="260">
        <f t="shared" si="111"/>
        <v>-5885089.9800000004</v>
      </c>
      <c r="H228" s="260">
        <f t="shared" si="111"/>
        <v>-22882662.009999998</v>
      </c>
      <c r="I228" s="260">
        <f t="shared" si="111"/>
        <v>-59962080.280000001</v>
      </c>
      <c r="J228" s="260">
        <f t="shared" ref="J228:O228" si="112">SUM(J224:J227)</f>
        <v>-72786108.329999998</v>
      </c>
      <c r="K228" s="260">
        <f t="shared" si="112"/>
        <v>-72938285.349999994</v>
      </c>
      <c r="L228" s="260">
        <f t="shared" si="112"/>
        <v>-120465863.15999998</v>
      </c>
      <c r="M228" s="260">
        <f t="shared" si="112"/>
        <v>-142810095.08000004</v>
      </c>
      <c r="N228" s="260">
        <f t="shared" si="112"/>
        <v>-40023946.919999987</v>
      </c>
      <c r="O228" s="260">
        <f t="shared" si="112"/>
        <v>-51568136.210000008</v>
      </c>
      <c r="P228" s="260">
        <f t="shared" ref="P228:Q228" si="113">SUM(P224:P227)</f>
        <v>-43600757.589999989</v>
      </c>
      <c r="Q228" s="260">
        <f t="shared" si="113"/>
        <v>-23996795.820000004</v>
      </c>
      <c r="R228" s="260">
        <f t="shared" ref="R228:S228" si="114">SUM(R224:R227)</f>
        <v>-181027214.51000002</v>
      </c>
      <c r="S228" s="260">
        <f t="shared" si="114"/>
        <v>-15288286.679999985</v>
      </c>
      <c r="T228" s="260">
        <f t="shared" ref="T228:U228" si="115">SUM(T224:T227)</f>
        <v>-3583142.7199999988</v>
      </c>
      <c r="U228" s="260">
        <f t="shared" si="115"/>
        <v>-15256813.610000018</v>
      </c>
      <c r="V228" s="314"/>
    </row>
    <row r="229" spans="1:22" x14ac:dyDescent="0.2">
      <c r="A229" s="263" t="s">
        <v>545</v>
      </c>
      <c r="B229" s="264" t="s">
        <v>546</v>
      </c>
      <c r="C229" s="264">
        <v>29</v>
      </c>
      <c r="D229" s="265"/>
      <c r="E229" s="266"/>
      <c r="F229" s="266"/>
      <c r="G229" s="266"/>
      <c r="H229" s="266"/>
      <c r="I229" s="266"/>
      <c r="J229" s="266"/>
      <c r="K229" s="266"/>
      <c r="L229" s="266"/>
      <c r="M229" s="266"/>
      <c r="N229" s="266"/>
      <c r="O229" s="266"/>
      <c r="P229" s="266"/>
      <c r="Q229" s="266"/>
      <c r="R229" s="266"/>
      <c r="S229" s="266"/>
      <c r="T229" s="266"/>
      <c r="U229" s="266"/>
      <c r="V229" s="315"/>
    </row>
    <row r="230" spans="1:22" x14ac:dyDescent="0.2">
      <c r="A230" s="255" t="s">
        <v>547</v>
      </c>
      <c r="B230" s="156" t="s">
        <v>548</v>
      </c>
      <c r="C230" s="156">
        <v>30</v>
      </c>
      <c r="D230" s="157"/>
      <c r="E230" s="256">
        <f t="shared" ref="E230:I230" si="116">E165-D165</f>
        <v>0</v>
      </c>
      <c r="F230" s="256">
        <f t="shared" si="116"/>
        <v>5692833.7300000004</v>
      </c>
      <c r="G230" s="256">
        <f t="shared" si="116"/>
        <v>-166944.91000000015</v>
      </c>
      <c r="H230" s="256">
        <f t="shared" si="116"/>
        <v>-1892681.2200000002</v>
      </c>
      <c r="I230" s="256">
        <f t="shared" si="116"/>
        <v>29348498.009999998</v>
      </c>
      <c r="J230" s="256">
        <f t="shared" ref="J230:U230" si="117">J165-I165</f>
        <v>-23403361.710000001</v>
      </c>
      <c r="K230" s="256">
        <f t="shared" si="117"/>
        <v>-7736670.2700000005</v>
      </c>
      <c r="L230" s="256">
        <f t="shared" si="117"/>
        <v>36638737.960000001</v>
      </c>
      <c r="M230" s="256">
        <f t="shared" si="117"/>
        <v>42122997.420000002</v>
      </c>
      <c r="N230" s="256">
        <f t="shared" si="117"/>
        <v>-39363843.010000005</v>
      </c>
      <c r="O230" s="256">
        <f t="shared" si="117"/>
        <v>-23965481.370000001</v>
      </c>
      <c r="P230" s="256">
        <f t="shared" si="117"/>
        <v>-6141844.459999999</v>
      </c>
      <c r="Q230" s="256">
        <f t="shared" si="117"/>
        <v>-5862221.3399999999</v>
      </c>
      <c r="R230" s="256">
        <f t="shared" si="117"/>
        <v>-5270018.83</v>
      </c>
      <c r="S230" s="256">
        <f t="shared" si="117"/>
        <v>7976982.04</v>
      </c>
      <c r="T230" s="256">
        <f t="shared" si="117"/>
        <v>-2231276.5099999998</v>
      </c>
      <c r="U230" s="256">
        <f t="shared" si="117"/>
        <v>-2280893.9500000002</v>
      </c>
      <c r="V230" s="314"/>
    </row>
    <row r="231" spans="1:22" x14ac:dyDescent="0.2">
      <c r="A231" s="255" t="s">
        <v>549</v>
      </c>
      <c r="B231" s="156" t="s">
        <v>550</v>
      </c>
      <c r="C231" s="156">
        <v>31</v>
      </c>
      <c r="D231" s="157"/>
      <c r="E231" s="256">
        <f t="shared" ref="E231:I231" si="118">SUM(E232:E237)</f>
        <v>134000</v>
      </c>
      <c r="F231" s="256">
        <f t="shared" si="118"/>
        <v>298370</v>
      </c>
      <c r="G231" s="256">
        <f t="shared" si="118"/>
        <v>54830</v>
      </c>
      <c r="H231" s="256">
        <f t="shared" si="118"/>
        <v>0</v>
      </c>
      <c r="I231" s="256">
        <f t="shared" si="118"/>
        <v>0</v>
      </c>
      <c r="J231" s="256">
        <f t="shared" ref="J231:O231" si="119">SUM(J232:J237)</f>
        <v>26000000</v>
      </c>
      <c r="K231" s="256">
        <f t="shared" si="119"/>
        <v>0</v>
      </c>
      <c r="L231" s="256">
        <f t="shared" si="119"/>
        <v>6000000</v>
      </c>
      <c r="M231" s="256">
        <f t="shared" si="119"/>
        <v>0</v>
      </c>
      <c r="N231" s="256">
        <f t="shared" si="119"/>
        <v>-14000000</v>
      </c>
      <c r="O231" s="256">
        <f t="shared" si="119"/>
        <v>0</v>
      </c>
      <c r="P231" s="256">
        <f t="shared" ref="P231:Q231" si="120">SUM(P232:P237)</f>
        <v>-15100000</v>
      </c>
      <c r="Q231" s="256">
        <f t="shared" si="120"/>
        <v>-4900000</v>
      </c>
      <c r="R231" s="256">
        <f t="shared" ref="R231:S231" si="121">SUM(R232:R237)</f>
        <v>0</v>
      </c>
      <c r="S231" s="256">
        <f t="shared" si="121"/>
        <v>0</v>
      </c>
      <c r="T231" s="256">
        <f t="shared" ref="T231:U231" si="122">SUM(T232:T237)</f>
        <v>0</v>
      </c>
      <c r="U231" s="256">
        <f t="shared" si="122"/>
        <v>0</v>
      </c>
      <c r="V231" s="314"/>
    </row>
    <row r="232" spans="1:22" x14ac:dyDescent="0.2">
      <c r="A232" s="255" t="s">
        <v>551</v>
      </c>
      <c r="B232" s="156" t="s">
        <v>552</v>
      </c>
      <c r="C232" s="156">
        <v>32</v>
      </c>
      <c r="D232" s="157"/>
      <c r="E232" s="256"/>
      <c r="F232" s="256"/>
      <c r="G232" s="256"/>
      <c r="H232" s="256"/>
      <c r="I232" s="256"/>
      <c r="J232" s="256"/>
      <c r="K232" s="256"/>
      <c r="L232" s="256"/>
      <c r="M232" s="256"/>
      <c r="N232" s="256"/>
      <c r="O232" s="256"/>
      <c r="P232" s="256"/>
      <c r="Q232" s="256"/>
      <c r="R232" s="256"/>
      <c r="S232" s="256"/>
      <c r="T232" s="256"/>
      <c r="U232" s="256"/>
      <c r="V232" s="314"/>
    </row>
    <row r="233" spans="1:22" x14ac:dyDescent="0.2">
      <c r="A233" s="255" t="s">
        <v>553</v>
      </c>
      <c r="B233" s="156" t="s">
        <v>554</v>
      </c>
      <c r="C233" s="156">
        <v>33</v>
      </c>
      <c r="D233" s="157"/>
      <c r="E233" s="256">
        <f t="shared" ref="E233:I233" si="123">-1*E67</f>
        <v>0</v>
      </c>
      <c r="F233" s="256">
        <f t="shared" si="123"/>
        <v>0</v>
      </c>
      <c r="G233" s="256">
        <f t="shared" si="123"/>
        <v>0</v>
      </c>
      <c r="H233" s="256">
        <f t="shared" si="123"/>
        <v>0</v>
      </c>
      <c r="I233" s="256">
        <f t="shared" si="123"/>
        <v>0</v>
      </c>
      <c r="J233" s="256">
        <f t="shared" ref="J233:O233" si="124">-1*J67</f>
        <v>0</v>
      </c>
      <c r="K233" s="256">
        <f t="shared" si="124"/>
        <v>0</v>
      </c>
      <c r="L233" s="256">
        <f t="shared" si="124"/>
        <v>0</v>
      </c>
      <c r="M233" s="256">
        <f t="shared" si="124"/>
        <v>0</v>
      </c>
      <c r="N233" s="256">
        <f t="shared" si="124"/>
        <v>0</v>
      </c>
      <c r="O233" s="256">
        <f t="shared" si="124"/>
        <v>0</v>
      </c>
      <c r="P233" s="256">
        <f t="shared" ref="P233:Q233" si="125">-1*P67</f>
        <v>0</v>
      </c>
      <c r="Q233" s="256">
        <f t="shared" si="125"/>
        <v>0</v>
      </c>
      <c r="R233" s="256">
        <f t="shared" ref="R233:S233" si="126">-1*R67</f>
        <v>0</v>
      </c>
      <c r="S233" s="256">
        <f t="shared" si="126"/>
        <v>0</v>
      </c>
      <c r="T233" s="256">
        <f t="shared" ref="T233:U233" si="127">-1*T67</f>
        <v>0</v>
      </c>
      <c r="U233" s="256">
        <f t="shared" si="127"/>
        <v>0</v>
      </c>
      <c r="V233" s="314"/>
    </row>
    <row r="234" spans="1:22" x14ac:dyDescent="0.2">
      <c r="A234" s="255" t="s">
        <v>555</v>
      </c>
      <c r="B234" s="156" t="s">
        <v>556</v>
      </c>
      <c r="C234" s="156">
        <v>34</v>
      </c>
      <c r="D234" s="157"/>
      <c r="E234" s="256"/>
      <c r="F234" s="256"/>
      <c r="G234" s="256"/>
      <c r="H234" s="256"/>
      <c r="I234" s="256"/>
      <c r="J234" s="256"/>
      <c r="K234" s="256"/>
      <c r="L234" s="256"/>
      <c r="M234" s="256"/>
      <c r="N234" s="256"/>
      <c r="O234" s="256"/>
      <c r="P234" s="256"/>
      <c r="Q234" s="256"/>
      <c r="R234" s="256"/>
      <c r="S234" s="256"/>
      <c r="T234" s="256"/>
      <c r="U234" s="256"/>
      <c r="V234" s="314"/>
    </row>
    <row r="235" spans="1:22" x14ac:dyDescent="0.2">
      <c r="A235" s="255" t="s">
        <v>557</v>
      </c>
      <c r="B235" s="156" t="s">
        <v>558</v>
      </c>
      <c r="C235" s="156">
        <v>35</v>
      </c>
      <c r="D235" s="157"/>
      <c r="E235" s="256"/>
      <c r="F235" s="256"/>
      <c r="G235" s="256"/>
      <c r="H235" s="256"/>
      <c r="I235" s="256"/>
      <c r="J235" s="256"/>
      <c r="K235" s="256"/>
      <c r="L235" s="256"/>
      <c r="M235" s="256"/>
      <c r="N235" s="256"/>
      <c r="O235" s="256"/>
      <c r="P235" s="256"/>
      <c r="Q235" s="256"/>
      <c r="R235" s="256"/>
      <c r="S235" s="256"/>
      <c r="T235" s="256"/>
      <c r="U235" s="256"/>
      <c r="V235" s="314"/>
    </row>
    <row r="236" spans="1:22" x14ac:dyDescent="0.2">
      <c r="A236" s="255" t="s">
        <v>559</v>
      </c>
      <c r="B236" s="156" t="s">
        <v>560</v>
      </c>
      <c r="C236" s="156">
        <v>36</v>
      </c>
      <c r="D236" s="157"/>
      <c r="E236" s="256">
        <f t="shared" ref="E236:I236" si="128">E147-D147+E152-D152</f>
        <v>134000</v>
      </c>
      <c r="F236" s="256">
        <f t="shared" si="128"/>
        <v>298370</v>
      </c>
      <c r="G236" s="256">
        <f t="shared" si="128"/>
        <v>54830</v>
      </c>
      <c r="H236" s="256">
        <f t="shared" si="128"/>
        <v>0</v>
      </c>
      <c r="I236" s="256">
        <f t="shared" si="128"/>
        <v>0</v>
      </c>
      <c r="J236" s="256">
        <f t="shared" ref="J236:U236" si="129">J147-I147+J152-I152</f>
        <v>26000000</v>
      </c>
      <c r="K236" s="256">
        <f t="shared" si="129"/>
        <v>0</v>
      </c>
      <c r="L236" s="256">
        <f t="shared" si="129"/>
        <v>6000000</v>
      </c>
      <c r="M236" s="256">
        <f t="shared" si="129"/>
        <v>0</v>
      </c>
      <c r="N236" s="256">
        <f t="shared" si="129"/>
        <v>-14000000</v>
      </c>
      <c r="O236" s="256">
        <f t="shared" si="129"/>
        <v>0</v>
      </c>
      <c r="P236" s="256">
        <f t="shared" si="129"/>
        <v>-15100000</v>
      </c>
      <c r="Q236" s="256">
        <f t="shared" si="129"/>
        <v>-4900000</v>
      </c>
      <c r="R236" s="256">
        <f t="shared" si="129"/>
        <v>0</v>
      </c>
      <c r="S236" s="256">
        <f t="shared" si="129"/>
        <v>0</v>
      </c>
      <c r="T236" s="256">
        <f t="shared" si="129"/>
        <v>0</v>
      </c>
      <c r="U236" s="256">
        <f t="shared" si="129"/>
        <v>0</v>
      </c>
      <c r="V236" s="314"/>
    </row>
    <row r="237" spans="1:22" x14ac:dyDescent="0.2">
      <c r="A237" s="255" t="s">
        <v>561</v>
      </c>
      <c r="B237" s="156" t="s">
        <v>562</v>
      </c>
      <c r="C237" s="156">
        <v>37</v>
      </c>
      <c r="D237" s="157"/>
      <c r="E237" s="256"/>
      <c r="F237" s="256"/>
      <c r="G237" s="256"/>
      <c r="H237" s="256"/>
      <c r="I237" s="256"/>
      <c r="J237" s="256"/>
      <c r="K237" s="256"/>
      <c r="L237" s="256"/>
      <c r="M237" s="256"/>
      <c r="N237" s="256"/>
      <c r="O237" s="256"/>
      <c r="P237" s="256"/>
      <c r="Q237" s="256"/>
      <c r="R237" s="256"/>
      <c r="S237" s="256"/>
      <c r="T237" s="256"/>
      <c r="U237" s="256"/>
      <c r="V237" s="314"/>
    </row>
    <row r="238" spans="1:22" x14ac:dyDescent="0.2">
      <c r="A238" s="255" t="s">
        <v>563</v>
      </c>
      <c r="B238" s="156" t="s">
        <v>564</v>
      </c>
      <c r="C238" s="156">
        <v>38</v>
      </c>
      <c r="D238" s="157"/>
      <c r="E238" s="256"/>
      <c r="F238" s="256"/>
      <c r="G238" s="256"/>
      <c r="H238" s="256"/>
      <c r="I238" s="256"/>
      <c r="J238" s="256"/>
      <c r="K238" s="256"/>
      <c r="L238" s="256"/>
      <c r="M238" s="256"/>
      <c r="N238" s="256"/>
      <c r="O238" s="256"/>
      <c r="P238" s="256"/>
      <c r="Q238" s="256"/>
      <c r="R238" s="256"/>
      <c r="S238" s="256"/>
      <c r="T238" s="256"/>
      <c r="U238" s="256"/>
      <c r="V238" s="314"/>
    </row>
    <row r="239" spans="1:22" ht="12" thickBot="1" x14ac:dyDescent="0.25">
      <c r="A239" s="257" t="s">
        <v>565</v>
      </c>
      <c r="B239" s="258" t="s">
        <v>130</v>
      </c>
      <c r="C239" s="258">
        <v>39</v>
      </c>
      <c r="D239" s="259"/>
      <c r="E239" s="260">
        <f t="shared" ref="E239:I239" si="130">E230+E231</f>
        <v>134000</v>
      </c>
      <c r="F239" s="260">
        <f t="shared" si="130"/>
        <v>5991203.7300000004</v>
      </c>
      <c r="G239" s="260">
        <f t="shared" si="130"/>
        <v>-112114.91000000015</v>
      </c>
      <c r="H239" s="260">
        <f t="shared" si="130"/>
        <v>-1892681.2200000002</v>
      </c>
      <c r="I239" s="260">
        <f t="shared" si="130"/>
        <v>29348498.009999998</v>
      </c>
      <c r="J239" s="260">
        <f t="shared" ref="J239:O239" si="131">J230+J231</f>
        <v>2596638.2899999991</v>
      </c>
      <c r="K239" s="260">
        <f t="shared" si="131"/>
        <v>-7736670.2700000005</v>
      </c>
      <c r="L239" s="260">
        <f t="shared" si="131"/>
        <v>42638737.960000001</v>
      </c>
      <c r="M239" s="260">
        <f t="shared" si="131"/>
        <v>42122997.420000002</v>
      </c>
      <c r="N239" s="260">
        <f t="shared" si="131"/>
        <v>-53363843.010000005</v>
      </c>
      <c r="O239" s="260">
        <f t="shared" si="131"/>
        <v>-23965481.370000001</v>
      </c>
      <c r="P239" s="260">
        <f t="shared" ref="P239:Q239" si="132">P230+P231</f>
        <v>-21241844.460000001</v>
      </c>
      <c r="Q239" s="260">
        <f t="shared" si="132"/>
        <v>-10762221.34</v>
      </c>
      <c r="R239" s="260">
        <f t="shared" ref="R239:S239" si="133">R230+R231</f>
        <v>-5270018.83</v>
      </c>
      <c r="S239" s="260">
        <f t="shared" si="133"/>
        <v>7976982.04</v>
      </c>
      <c r="T239" s="260">
        <f t="shared" ref="T239:U239" si="134">T230+T231</f>
        <v>-2231276.5099999998</v>
      </c>
      <c r="U239" s="260">
        <f t="shared" si="134"/>
        <v>-2280893.9500000002</v>
      </c>
      <c r="V239" s="314"/>
    </row>
    <row r="240" spans="1:22" x14ac:dyDescent="0.2">
      <c r="A240" s="249" t="s">
        <v>20</v>
      </c>
      <c r="B240" s="249" t="s">
        <v>566</v>
      </c>
      <c r="C240" s="249">
        <v>40</v>
      </c>
      <c r="D240" s="250"/>
      <c r="E240" s="250">
        <f t="shared" ref="E240:I240" si="135">E239+E228+E222</f>
        <v>2788000</v>
      </c>
      <c r="F240" s="250">
        <f t="shared" si="135"/>
        <v>-336952.23999999836</v>
      </c>
      <c r="G240" s="250">
        <f t="shared" si="135"/>
        <v>474193.21999999508</v>
      </c>
      <c r="H240" s="250">
        <f t="shared" si="135"/>
        <v>1742413.25</v>
      </c>
      <c r="I240" s="250">
        <f t="shared" si="135"/>
        <v>11238569.229999997</v>
      </c>
      <c r="J240" s="250">
        <f t="shared" ref="J240:O240" si="136">J239+J228+J222</f>
        <v>-6792939.9699999988</v>
      </c>
      <c r="K240" s="250">
        <f t="shared" si="136"/>
        <v>3085015.5499999821</v>
      </c>
      <c r="L240" s="250">
        <f t="shared" si="136"/>
        <v>635754.21000000834</v>
      </c>
      <c r="M240" s="250">
        <f t="shared" si="136"/>
        <v>2575852.4099999517</v>
      </c>
      <c r="N240" s="250">
        <f t="shared" si="136"/>
        <v>49280368.13000001</v>
      </c>
      <c r="O240" s="250">
        <f t="shared" si="136"/>
        <v>-41299742.990000017</v>
      </c>
      <c r="P240" s="250">
        <f t="shared" ref="P240:Q240" si="137">P239+P228+P222</f>
        <v>14356108.670000009</v>
      </c>
      <c r="Q240" s="250">
        <f t="shared" si="137"/>
        <v>-3145944.0199999884</v>
      </c>
      <c r="R240" s="250">
        <f t="shared" ref="R240:S240" si="138">R239+R228+R222</f>
        <v>1274062.5399999321</v>
      </c>
      <c r="S240" s="250">
        <f t="shared" si="138"/>
        <v>-590667.4099999899</v>
      </c>
      <c r="T240" s="250">
        <f t="shared" ref="T240:U240" si="139">T239+T228+T222</f>
        <v>15877772.860000005</v>
      </c>
      <c r="U240" s="250">
        <f t="shared" si="139"/>
        <v>-484005.79000002146</v>
      </c>
      <c r="V240" s="314"/>
    </row>
    <row r="241" spans="1:22" x14ac:dyDescent="0.2">
      <c r="A241" s="156" t="s">
        <v>42</v>
      </c>
      <c r="B241" s="156" t="s">
        <v>567</v>
      </c>
      <c r="C241" s="156">
        <v>41</v>
      </c>
      <c r="D241" s="157"/>
      <c r="E241" s="157">
        <f t="shared" ref="E241:I241" si="140">E201+E240</f>
        <v>4905000</v>
      </c>
      <c r="F241" s="157">
        <f t="shared" si="140"/>
        <v>4220047.7600000016</v>
      </c>
      <c r="G241" s="157">
        <f t="shared" si="140"/>
        <v>4396624.7499999944</v>
      </c>
      <c r="H241" s="157">
        <f t="shared" si="140"/>
        <v>6084208</v>
      </c>
      <c r="I241" s="157">
        <f t="shared" si="140"/>
        <v>16922777.229999997</v>
      </c>
      <c r="J241" s="157">
        <f t="shared" ref="J241:O241" si="141">J201+J240</f>
        <v>10129837.260000002</v>
      </c>
      <c r="K241" s="157">
        <f t="shared" si="141"/>
        <v>13214852.809999982</v>
      </c>
      <c r="L241" s="157">
        <f t="shared" si="141"/>
        <v>13850607.020000009</v>
      </c>
      <c r="M241" s="157">
        <f t="shared" si="141"/>
        <v>16426459.429999951</v>
      </c>
      <c r="N241" s="157">
        <f t="shared" si="141"/>
        <v>64901827.56000001</v>
      </c>
      <c r="O241" s="157">
        <f t="shared" si="141"/>
        <v>-16242989.330000017</v>
      </c>
      <c r="P241" s="157">
        <f t="shared" ref="P241:Q241" si="142">P201+P240</f>
        <v>40224253.13000001</v>
      </c>
      <c r="Q241" s="157">
        <f t="shared" si="142"/>
        <v>32063603.45000001</v>
      </c>
      <c r="R241" s="157">
        <f t="shared" ref="R241:S241" si="143">R201+R240</f>
        <v>29382777.109999932</v>
      </c>
      <c r="S241" s="157">
        <f t="shared" si="143"/>
        <v>28792081.70000001</v>
      </c>
      <c r="T241" s="157">
        <f t="shared" ref="T241:U241" si="144">T201+T240</f>
        <v>42065294.560000002</v>
      </c>
      <c r="U241" s="157">
        <f t="shared" si="144"/>
        <v>33219508.769999981</v>
      </c>
      <c r="V241" s="314"/>
    </row>
    <row r="242" spans="1:22" x14ac:dyDescent="0.2">
      <c r="A242" s="156" t="s">
        <v>514</v>
      </c>
      <c r="B242" s="156" t="s">
        <v>515</v>
      </c>
      <c r="C242" s="156">
        <v>141</v>
      </c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314"/>
    </row>
    <row r="243" spans="1:22" x14ac:dyDescent="0.2">
      <c r="A243" s="156" t="s">
        <v>516</v>
      </c>
      <c r="B243" s="156" t="s">
        <v>517</v>
      </c>
      <c r="C243" s="156">
        <v>143</v>
      </c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314"/>
    </row>
    <row r="244" spans="1:22" x14ac:dyDescent="0.2">
      <c r="A244" s="156" t="s">
        <v>536</v>
      </c>
      <c r="B244" s="156" t="s">
        <v>537</v>
      </c>
      <c r="C244" s="156">
        <v>144</v>
      </c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314"/>
    </row>
  </sheetData>
  <mergeCells count="1">
    <mergeCell ref="B3:C3"/>
  </mergeCells>
  <pageMargins left="0.75" right="0.75" top="1" bottom="1" header="0.5" footer="0.5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16"/>
  <dimension ref="A1"/>
  <sheetViews>
    <sheetView workbookViewId="0"/>
  </sheetViews>
  <sheetFormatPr defaultRowHeight="11.25" x14ac:dyDescent="0.2"/>
  <sheetData/>
  <phoneticPr fontId="0" type="noConversion"/>
  <pageMargins left="0.75" right="0.75" top="1" bottom="1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25" transitionEvaluation="1" transitionEntry="1" codeName="List4"/>
  <dimension ref="B1:AJ238"/>
  <sheetViews>
    <sheetView showGridLines="0" topLeftCell="A25" workbookViewId="0">
      <selection activeCell="Z51" sqref="Z51"/>
    </sheetView>
  </sheetViews>
  <sheetFormatPr defaultColWidth="9.83203125" defaultRowHeight="11.25" outlineLevelCol="1" x14ac:dyDescent="0.2"/>
  <cols>
    <col min="1" max="1" width="0.6640625" customWidth="1"/>
    <col min="2" max="2" width="4.33203125" customWidth="1"/>
    <col min="3" max="3" width="3.1640625" customWidth="1"/>
    <col min="4" max="4" width="5.5" customWidth="1"/>
    <col min="5" max="5" width="44.33203125" bestFit="1" customWidth="1"/>
    <col min="6" max="6" width="6.33203125" customWidth="1"/>
    <col min="7" max="7" width="26.5" customWidth="1"/>
    <col min="8" max="8" width="10" bestFit="1" customWidth="1"/>
    <col min="9" max="12" width="9.83203125" hidden="1" customWidth="1" outlineLevel="1"/>
    <col min="13" max="13" width="11.1640625" hidden="1" customWidth="1" outlineLevel="1"/>
    <col min="14" max="21" width="12.33203125" hidden="1" customWidth="1" outlineLevel="1"/>
    <col min="22" max="22" width="12.33203125" bestFit="1" customWidth="1" collapsed="1"/>
    <col min="23" max="26" width="12.33203125" bestFit="1" customWidth="1"/>
    <col min="27" max="27" width="19.83203125" customWidth="1"/>
    <col min="28" max="29" width="9.83203125" customWidth="1"/>
    <col min="30" max="30" width="73.33203125" bestFit="1" customWidth="1"/>
    <col min="31" max="31" width="9.83203125" customWidth="1"/>
    <col min="32" max="32" width="14.5" bestFit="1" customWidth="1"/>
    <col min="33" max="33" width="14.33203125" bestFit="1" customWidth="1"/>
    <col min="34" max="34" width="27.1640625" customWidth="1"/>
    <col min="35" max="35" width="17.33203125" customWidth="1"/>
    <col min="41" max="41" width="3.83203125" customWidth="1"/>
    <col min="53" max="53" width="3.83203125" customWidth="1"/>
    <col min="120" max="120" width="4.83203125" customWidth="1"/>
  </cols>
  <sheetData>
    <row r="1" spans="2:34" ht="8.25" customHeight="1" x14ac:dyDescent="0.2"/>
    <row r="2" spans="2:34" x14ac:dyDescent="0.2">
      <c r="B2" s="2" t="s">
        <v>280</v>
      </c>
      <c r="D2" s="2"/>
    </row>
    <row r="3" spans="2:34" x14ac:dyDescent="0.2">
      <c r="B3" s="15"/>
      <c r="C3" s="16"/>
      <c r="D3" s="9"/>
      <c r="E3" s="10"/>
      <c r="F3" s="11"/>
      <c r="G3" s="11"/>
      <c r="H3" s="158" t="s">
        <v>342</v>
      </c>
      <c r="I3" s="151">
        <f>'Vykazy HELIOS'!$B$1</f>
        <v>2007</v>
      </c>
      <c r="J3" s="146">
        <f t="shared" ref="J3:Z3" si="0">I3+1</f>
        <v>2008</v>
      </c>
      <c r="K3" s="146">
        <f t="shared" si="0"/>
        <v>2009</v>
      </c>
      <c r="L3" s="146">
        <f t="shared" si="0"/>
        <v>2010</v>
      </c>
      <c r="M3" s="146">
        <f t="shared" si="0"/>
        <v>2011</v>
      </c>
      <c r="N3" s="146">
        <f t="shared" si="0"/>
        <v>2012</v>
      </c>
      <c r="O3" s="146">
        <f t="shared" si="0"/>
        <v>2013</v>
      </c>
      <c r="P3" s="146">
        <f t="shared" si="0"/>
        <v>2014</v>
      </c>
      <c r="Q3" s="146">
        <f t="shared" si="0"/>
        <v>2015</v>
      </c>
      <c r="R3" s="146">
        <f t="shared" si="0"/>
        <v>2016</v>
      </c>
      <c r="S3" s="146">
        <f t="shared" si="0"/>
        <v>2017</v>
      </c>
      <c r="T3" s="146">
        <f t="shared" si="0"/>
        <v>2018</v>
      </c>
      <c r="U3" s="146">
        <f t="shared" si="0"/>
        <v>2019</v>
      </c>
      <c r="V3" s="146">
        <f t="shared" si="0"/>
        <v>2020</v>
      </c>
      <c r="W3" s="146">
        <f t="shared" si="0"/>
        <v>2021</v>
      </c>
      <c r="X3" s="146">
        <f t="shared" si="0"/>
        <v>2022</v>
      </c>
      <c r="Y3" s="146">
        <f t="shared" si="0"/>
        <v>2023</v>
      </c>
      <c r="Z3" s="146">
        <f t="shared" si="0"/>
        <v>2024</v>
      </c>
      <c r="AC3" t="s">
        <v>340</v>
      </c>
      <c r="AD3" t="s">
        <v>341</v>
      </c>
      <c r="AE3" t="s">
        <v>342</v>
      </c>
      <c r="AF3" t="s">
        <v>582</v>
      </c>
      <c r="AG3" t="s">
        <v>583</v>
      </c>
      <c r="AH3" t="s">
        <v>598</v>
      </c>
    </row>
    <row r="4" spans="2:34" x14ac:dyDescent="0.2">
      <c r="B4" s="102" t="s">
        <v>0</v>
      </c>
      <c r="C4" s="103"/>
      <c r="D4" s="32" t="s">
        <v>1</v>
      </c>
      <c r="E4" s="33"/>
      <c r="F4" s="34"/>
      <c r="G4" s="34"/>
      <c r="H4" s="159">
        <v>1</v>
      </c>
      <c r="I4" s="35">
        <f>'Vykazy HELIOS'!D9/1000</f>
        <v>0</v>
      </c>
      <c r="J4" s="35">
        <f>'Vykazy HELIOS'!E9/1000</f>
        <v>0</v>
      </c>
      <c r="K4" s="35">
        <f>'Vykazy HELIOS'!F9/1000</f>
        <v>0</v>
      </c>
      <c r="L4" s="35">
        <f>'Vykazy HELIOS'!G9/1000</f>
        <v>0</v>
      </c>
      <c r="M4" s="35">
        <f>'Vykazy HELIOS'!H9/1000</f>
        <v>0</v>
      </c>
      <c r="N4" s="35">
        <f>'Vykazy HELIOS'!I9/1000</f>
        <v>0</v>
      </c>
      <c r="O4" s="35">
        <f>'Vykazy HELIOS'!J9/1000</f>
        <v>0</v>
      </c>
      <c r="P4" s="35">
        <f>'Vykazy HELIOS'!K9/1000</f>
        <v>0</v>
      </c>
      <c r="Q4" s="35">
        <f>'Vykazy HELIOS'!L9/1000</f>
        <v>0</v>
      </c>
      <c r="R4" s="35">
        <f>'Vykazy HELIOS'!M9/1000</f>
        <v>0</v>
      </c>
      <c r="S4" s="35">
        <f>'Vykazy HELIOS'!N9/1000</f>
        <v>0</v>
      </c>
      <c r="T4" s="35">
        <f>'Vykazy HELIOS'!O9/1000</f>
        <v>0</v>
      </c>
      <c r="U4" s="35">
        <f>'Vykazy HELIOS'!P9/1000</f>
        <v>0</v>
      </c>
      <c r="V4" s="35">
        <f>'Vykazy HELIOS'!Q9/1000</f>
        <v>0</v>
      </c>
      <c r="W4" s="35">
        <f>'Vykazy HELIOS'!R9/1000</f>
        <v>0</v>
      </c>
      <c r="X4" s="35">
        <f>'Vykazy HELIOS'!S9/1000</f>
        <v>0</v>
      </c>
      <c r="Y4" s="35">
        <f>'Vykazy HELIOS'!T9/1000</f>
        <v>0</v>
      </c>
      <c r="Z4" s="35">
        <f>'Vykazy HELIOS'!U9/1000</f>
        <v>0</v>
      </c>
      <c r="AA4" t="s">
        <v>601</v>
      </c>
      <c r="AC4" t="s">
        <v>0</v>
      </c>
      <c r="AD4" s="342" t="s">
        <v>599</v>
      </c>
      <c r="AE4">
        <v>1</v>
      </c>
      <c r="AF4">
        <v>286652999.89999998</v>
      </c>
      <c r="AG4">
        <v>297953842.55000001</v>
      </c>
      <c r="AH4" t="s">
        <v>600</v>
      </c>
    </row>
    <row r="5" spans="2:34" x14ac:dyDescent="0.2">
      <c r="B5" s="37" t="s">
        <v>2</v>
      </c>
      <c r="C5" s="105"/>
      <c r="D5" s="39" t="s">
        <v>3</v>
      </c>
      <c r="E5" s="40"/>
      <c r="F5" s="41"/>
      <c r="G5" s="112"/>
      <c r="H5" s="160">
        <v>2</v>
      </c>
      <c r="I5" s="35">
        <f>'Vykazy HELIOS'!D10/1000</f>
        <v>0</v>
      </c>
      <c r="J5" s="35">
        <f>'Vykazy HELIOS'!E10/1000</f>
        <v>0</v>
      </c>
      <c r="K5" s="35">
        <f>'Vykazy HELIOS'!F10/1000</f>
        <v>0</v>
      </c>
      <c r="L5" s="35">
        <f>'Vykazy HELIOS'!G10/1000</f>
        <v>4.0369700000000002</v>
      </c>
      <c r="M5" s="35">
        <f>'Vykazy HELIOS'!H10/1000</f>
        <v>54.584150000000001</v>
      </c>
      <c r="N5" s="35">
        <f>'Vykazy HELIOS'!I10/1000</f>
        <v>0</v>
      </c>
      <c r="O5" s="35">
        <f>'Vykazy HELIOS'!J10/1000</f>
        <v>0</v>
      </c>
      <c r="P5" s="35">
        <f>'Vykazy HELIOS'!K10/1000</f>
        <v>0</v>
      </c>
      <c r="Q5" s="35">
        <f>'Vykazy HELIOS'!L10/1000</f>
        <v>0</v>
      </c>
      <c r="R5" s="35">
        <f>'Vykazy HELIOS'!M10/1000</f>
        <v>0</v>
      </c>
      <c r="S5" s="35">
        <f>'Vykazy HELIOS'!N10/1000</f>
        <v>0</v>
      </c>
      <c r="T5" s="35">
        <f>'Vykazy HELIOS'!O10/1000</f>
        <v>0</v>
      </c>
      <c r="U5" s="35">
        <f>'Vykazy HELIOS'!P10/1000</f>
        <v>0</v>
      </c>
      <c r="V5" s="35">
        <f>'Vykazy HELIOS'!Q10/1000</f>
        <v>0</v>
      </c>
      <c r="W5" s="35">
        <f>'Vykazy HELIOS'!R10/1000</f>
        <v>0</v>
      </c>
      <c r="X5" s="35">
        <f>'Vykazy HELIOS'!S10/1000</f>
        <v>0</v>
      </c>
      <c r="Y5" s="35">
        <f>'Vykazy HELIOS'!T10/1000</f>
        <v>0</v>
      </c>
      <c r="Z5" s="35">
        <f>'Vykazy HELIOS'!U10/1000</f>
        <v>0</v>
      </c>
      <c r="AC5" t="s">
        <v>6</v>
      </c>
      <c r="AD5" s="342" t="s">
        <v>343</v>
      </c>
      <c r="AE5">
        <v>2</v>
      </c>
      <c r="AF5">
        <v>0</v>
      </c>
      <c r="AG5">
        <v>0</v>
      </c>
      <c r="AH5" t="s">
        <v>601</v>
      </c>
    </row>
    <row r="6" spans="2:34" x14ac:dyDescent="0.2">
      <c r="B6" s="21" t="s">
        <v>4</v>
      </c>
      <c r="C6" s="22"/>
      <c r="D6" s="12" t="s">
        <v>5</v>
      </c>
      <c r="E6" s="13"/>
      <c r="F6" s="14"/>
      <c r="G6" s="14"/>
      <c r="H6" s="161">
        <v>3</v>
      </c>
      <c r="I6" s="54">
        <f t="shared" ref="I6:N6" si="1">I4-I5</f>
        <v>0</v>
      </c>
      <c r="J6" s="54">
        <f t="shared" si="1"/>
        <v>0</v>
      </c>
      <c r="K6" s="54">
        <f t="shared" si="1"/>
        <v>0</v>
      </c>
      <c r="L6" s="54">
        <f t="shared" si="1"/>
        <v>-4.0369700000000002</v>
      </c>
      <c r="M6" s="54">
        <f t="shared" si="1"/>
        <v>-54.584150000000001</v>
      </c>
      <c r="N6" s="54">
        <f t="shared" si="1"/>
        <v>0</v>
      </c>
      <c r="O6" s="54">
        <f t="shared" ref="O6:P6" si="2">O4-O5</f>
        <v>0</v>
      </c>
      <c r="P6" s="54">
        <f t="shared" si="2"/>
        <v>0</v>
      </c>
      <c r="Q6" s="54">
        <f t="shared" ref="Q6:R6" si="3">Q4-Q5</f>
        <v>0</v>
      </c>
      <c r="R6" s="54">
        <f t="shared" si="3"/>
        <v>0</v>
      </c>
      <c r="S6" s="54">
        <f t="shared" ref="S6:T6" si="4">S4-S5</f>
        <v>0</v>
      </c>
      <c r="T6" s="54">
        <f t="shared" si="4"/>
        <v>0</v>
      </c>
      <c r="U6" s="54">
        <f t="shared" ref="U6:V6" si="5">U4-U5</f>
        <v>0</v>
      </c>
      <c r="V6" s="54">
        <f t="shared" si="5"/>
        <v>0</v>
      </c>
      <c r="W6" s="54">
        <f t="shared" ref="W6:X6" si="6">W4-W5</f>
        <v>0</v>
      </c>
      <c r="X6" s="54">
        <f t="shared" si="6"/>
        <v>0</v>
      </c>
      <c r="Y6" s="54">
        <f t="shared" ref="Y6:Z6" si="7">Y4-Y5</f>
        <v>0</v>
      </c>
      <c r="Z6" s="54">
        <f t="shared" si="7"/>
        <v>0</v>
      </c>
      <c r="AC6" t="s">
        <v>2</v>
      </c>
      <c r="AD6" s="342" t="s">
        <v>218</v>
      </c>
      <c r="AE6">
        <v>3</v>
      </c>
      <c r="AF6">
        <v>140837201.86000001</v>
      </c>
      <c r="AG6">
        <v>170309566.78999999</v>
      </c>
      <c r="AH6" t="s">
        <v>602</v>
      </c>
    </row>
    <row r="7" spans="2:34" x14ac:dyDescent="0.2">
      <c r="B7" s="17" t="s">
        <v>6</v>
      </c>
      <c r="C7" s="18"/>
      <c r="D7" s="9" t="s">
        <v>7</v>
      </c>
      <c r="E7" s="10"/>
      <c r="F7" s="11"/>
      <c r="G7" s="11"/>
      <c r="H7" s="158">
        <v>4</v>
      </c>
      <c r="I7" s="28">
        <f t="shared" ref="I7:N7" si="8">SUM(I8:I10)</f>
        <v>101675</v>
      </c>
      <c r="J7" s="28">
        <f t="shared" si="8"/>
        <v>146442</v>
      </c>
      <c r="K7" s="28">
        <f t="shared" si="8"/>
        <v>181052.37263999999</v>
      </c>
      <c r="L7" s="28">
        <f t="shared" si="8"/>
        <v>224579.17426</v>
      </c>
      <c r="M7" s="28">
        <f t="shared" si="8"/>
        <v>312176.34346</v>
      </c>
      <c r="N7" s="28">
        <f t="shared" si="8"/>
        <v>352763.65401999996</v>
      </c>
      <c r="O7" s="28">
        <f t="shared" ref="O7:P7" si="9">SUM(O8:O10)</f>
        <v>395822.54802999995</v>
      </c>
      <c r="P7" s="28">
        <f t="shared" si="9"/>
        <v>416605.38604000001</v>
      </c>
      <c r="Q7" s="28">
        <f t="shared" ref="Q7:R7" si="10">SUM(Q8:Q10)</f>
        <v>443030.99691999995</v>
      </c>
      <c r="R7" s="28">
        <f t="shared" si="10"/>
        <v>406108.14801999996</v>
      </c>
      <c r="S7" s="28">
        <f t="shared" ref="S7:T7" si="11">SUM(S8:S10)</f>
        <v>403064.01548</v>
      </c>
      <c r="T7" s="28">
        <f t="shared" si="11"/>
        <v>385874.04248</v>
      </c>
      <c r="U7" s="28">
        <f t="shared" ref="U7:V7" si="12">SUM(U8:U10)</f>
        <v>389927.51297000004</v>
      </c>
      <c r="V7" s="28">
        <f t="shared" si="12"/>
        <v>270523.63186999998</v>
      </c>
      <c r="W7" s="28">
        <f t="shared" ref="W7:X7" si="13">SUM(W8:W10)</f>
        <v>294613.65986000001</v>
      </c>
      <c r="X7" s="28">
        <f t="shared" si="13"/>
        <v>297953.84255</v>
      </c>
      <c r="Y7" s="28">
        <f t="shared" ref="Y7:Z7" si="14">SUM(Y8:Y10)</f>
        <v>286345.73436</v>
      </c>
      <c r="Z7" s="28">
        <f t="shared" si="14"/>
        <v>208824.95981</v>
      </c>
      <c r="AC7" t="s">
        <v>497</v>
      </c>
      <c r="AD7" t="s">
        <v>344</v>
      </c>
      <c r="AE7">
        <v>4</v>
      </c>
      <c r="AF7">
        <v>0</v>
      </c>
      <c r="AG7">
        <v>0</v>
      </c>
      <c r="AH7" t="s">
        <v>603</v>
      </c>
    </row>
    <row r="8" spans="2:34" x14ac:dyDescent="0.2">
      <c r="B8" s="102" t="s">
        <v>6</v>
      </c>
      <c r="C8" s="103">
        <v>1</v>
      </c>
      <c r="D8" s="32" t="s">
        <v>8</v>
      </c>
      <c r="E8" s="33"/>
      <c r="F8" s="34"/>
      <c r="G8" s="34"/>
      <c r="H8" s="159">
        <v>5</v>
      </c>
      <c r="I8" s="35">
        <f>'Vykazy HELIOS'!D13/1000</f>
        <v>101675</v>
      </c>
      <c r="J8" s="104">
        <f>'Vykazy HELIOS'!E13/1000</f>
        <v>146442</v>
      </c>
      <c r="K8" s="104">
        <f>'Vykazy HELIOS'!F13/1000</f>
        <v>181052.37263999999</v>
      </c>
      <c r="L8" s="104">
        <f>'Vykazy HELIOS'!G13/1000</f>
        <v>224579.17426</v>
      </c>
      <c r="M8" s="104">
        <f>'Vykazy HELIOS'!H13/1000</f>
        <v>312176.34346</v>
      </c>
      <c r="N8" s="104">
        <f>'Vykazy HELIOS'!I13/1000</f>
        <v>352763.65401999996</v>
      </c>
      <c r="O8" s="104">
        <f>'Vykazy HELIOS'!J13/1000</f>
        <v>395822.54802999995</v>
      </c>
      <c r="P8" s="104">
        <f>'Vykazy HELIOS'!K13/1000</f>
        <v>416531.87993</v>
      </c>
      <c r="Q8" s="104">
        <f>'Vykazy HELIOS'!L13/1000</f>
        <v>443104.50302999996</v>
      </c>
      <c r="R8" s="104">
        <f>'Vykazy HELIOS'!M13/1000</f>
        <v>406108.14801999996</v>
      </c>
      <c r="S8" s="104">
        <f>'Vykazy HELIOS'!N13/1000</f>
        <v>403064.01548</v>
      </c>
      <c r="T8" s="104">
        <f>'Vykazy HELIOS'!O13/1000</f>
        <v>385874.04248</v>
      </c>
      <c r="U8" s="104">
        <f>'Vykazy HELIOS'!P13/1000</f>
        <v>389927.51297000004</v>
      </c>
      <c r="V8" s="104">
        <f>'Vykazy HELIOS'!Q13/1000</f>
        <v>270523.63186999998</v>
      </c>
      <c r="W8" s="104">
        <f>'Vykazy HELIOS'!R13/1000</f>
        <v>294613.65986000001</v>
      </c>
      <c r="X8" s="104">
        <f>'Vykazy HELIOS'!S13/1000</f>
        <v>297953.84255</v>
      </c>
      <c r="Y8" s="104">
        <f>'Vykazy HELIOS'!T13/1000</f>
        <v>286345.73436</v>
      </c>
      <c r="Z8" s="104">
        <f>'Vykazy HELIOS'!U13/1000</f>
        <v>208824.95981</v>
      </c>
      <c r="AA8" t="s">
        <v>600</v>
      </c>
      <c r="AC8" t="s">
        <v>512</v>
      </c>
      <c r="AD8" s="342" t="s">
        <v>11</v>
      </c>
      <c r="AE8">
        <v>5</v>
      </c>
      <c r="AF8">
        <v>59630667.670000002</v>
      </c>
      <c r="AG8">
        <v>72853363.579999998</v>
      </c>
      <c r="AH8" s="342" t="s">
        <v>604</v>
      </c>
    </row>
    <row r="9" spans="2:34" x14ac:dyDescent="0.2">
      <c r="B9" s="109"/>
      <c r="C9" s="110">
        <v>2</v>
      </c>
      <c r="D9" s="111" t="s">
        <v>166</v>
      </c>
      <c r="E9" s="1"/>
      <c r="F9" s="112"/>
      <c r="G9" s="112"/>
      <c r="H9" s="160">
        <v>6</v>
      </c>
      <c r="I9" s="113">
        <f>'Vykazy HELIOS'!D14/1000</f>
        <v>0</v>
      </c>
      <c r="J9" s="114">
        <f>'Vykazy HELIOS'!E14/1000</f>
        <v>0</v>
      </c>
      <c r="K9" s="114">
        <f>'Vykazy HELIOS'!F14/1000</f>
        <v>0</v>
      </c>
      <c r="L9" s="114">
        <f>'Vykazy HELIOS'!G14/1000</f>
        <v>0</v>
      </c>
      <c r="M9" s="114">
        <f>'Vykazy HELIOS'!H14/1000</f>
        <v>0</v>
      </c>
      <c r="N9" s="114">
        <f>'Vykazy HELIOS'!I14/1000</f>
        <v>0</v>
      </c>
      <c r="O9" s="114">
        <f>'Vykazy HELIOS'!J14/1000</f>
        <v>0</v>
      </c>
      <c r="P9" s="114">
        <f>'Vykazy HELIOS'!K14/1000</f>
        <v>73.506110000000007</v>
      </c>
      <c r="Q9" s="114">
        <f>'Vykazy HELIOS'!L14/1000</f>
        <v>-73.506110000000007</v>
      </c>
      <c r="R9" s="114">
        <f>'Vykazy HELIOS'!M14/1000</f>
        <v>0</v>
      </c>
      <c r="S9" s="114">
        <f>'Vykazy HELIOS'!N14/1000</f>
        <v>0</v>
      </c>
      <c r="T9" s="114">
        <f>'Vykazy HELIOS'!O14/1000</f>
        <v>0</v>
      </c>
      <c r="U9" s="114">
        <f>'Vykazy HELIOS'!P14/1000</f>
        <v>0</v>
      </c>
      <c r="V9" s="114">
        <f>'Vykazy HELIOS'!Q14/1000</f>
        <v>0</v>
      </c>
      <c r="W9" s="114">
        <f>'Vykazy HELIOS'!R14/1000</f>
        <v>0</v>
      </c>
      <c r="X9" s="114">
        <f>'Vykazy HELIOS'!S14/1000</f>
        <v>0</v>
      </c>
      <c r="Y9" s="114">
        <f>'Vykazy HELIOS'!T14/1000</f>
        <v>0</v>
      </c>
      <c r="Z9" s="114">
        <f>'Vykazy HELIOS'!U14/1000</f>
        <v>0</v>
      </c>
      <c r="AC9" t="s">
        <v>524</v>
      </c>
      <c r="AD9" s="342" t="s">
        <v>12</v>
      </c>
      <c r="AE9">
        <v>6</v>
      </c>
      <c r="AF9">
        <v>81206534.189999998</v>
      </c>
      <c r="AG9">
        <v>97456203.209999993</v>
      </c>
      <c r="AH9" s="342" t="s">
        <v>605</v>
      </c>
    </row>
    <row r="10" spans="2:34" x14ac:dyDescent="0.2">
      <c r="B10" s="108"/>
      <c r="C10" s="105">
        <v>3</v>
      </c>
      <c r="D10" s="39" t="s">
        <v>9</v>
      </c>
      <c r="E10" s="40"/>
      <c r="F10" s="41"/>
      <c r="G10" s="41"/>
      <c r="H10" s="162">
        <v>7</v>
      </c>
      <c r="I10" s="106">
        <f>'Vykazy HELIOS'!D15/1000</f>
        <v>0</v>
      </c>
      <c r="J10" s="107">
        <f>'Vykazy HELIOS'!E15/1000</f>
        <v>0</v>
      </c>
      <c r="K10" s="107">
        <f>'Vykazy HELIOS'!F15/1000</f>
        <v>0</v>
      </c>
      <c r="L10" s="107">
        <f>'Vykazy HELIOS'!G15/1000</f>
        <v>0</v>
      </c>
      <c r="M10" s="107">
        <f>'Vykazy HELIOS'!H15/1000</f>
        <v>0</v>
      </c>
      <c r="N10" s="107">
        <f>'Vykazy HELIOS'!I15/1000</f>
        <v>0</v>
      </c>
      <c r="O10" s="107">
        <f>'Vykazy HELIOS'!J15/1000</f>
        <v>0</v>
      </c>
      <c r="P10" s="107">
        <f>'Vykazy HELIOS'!K15/1000</f>
        <v>0</v>
      </c>
      <c r="Q10" s="107">
        <f>'Vykazy HELIOS'!L15/1000</f>
        <v>0</v>
      </c>
      <c r="R10" s="107">
        <f>'Vykazy HELIOS'!M15/1000</f>
        <v>0</v>
      </c>
      <c r="S10" s="107">
        <f>'Vykazy HELIOS'!N15/1000</f>
        <v>0</v>
      </c>
      <c r="T10" s="107">
        <f>'Vykazy HELIOS'!O15/1000</f>
        <v>0</v>
      </c>
      <c r="U10" s="107">
        <f>'Vykazy HELIOS'!P15/1000</f>
        <v>0</v>
      </c>
      <c r="V10" s="107">
        <f>'Vykazy HELIOS'!Q15/1000</f>
        <v>0</v>
      </c>
      <c r="W10" s="107">
        <f>'Vykazy HELIOS'!R15/1000</f>
        <v>0</v>
      </c>
      <c r="X10" s="107">
        <f>'Vykazy HELIOS'!S15/1000</f>
        <v>0</v>
      </c>
      <c r="Y10" s="107">
        <f>'Vykazy HELIOS'!T15/1000</f>
        <v>0</v>
      </c>
      <c r="Z10" s="107">
        <f>'Vykazy HELIOS'!U15/1000</f>
        <v>0</v>
      </c>
      <c r="AC10" t="s">
        <v>10</v>
      </c>
      <c r="AD10" t="s">
        <v>606</v>
      </c>
      <c r="AE10">
        <v>7</v>
      </c>
      <c r="AF10">
        <v>7756</v>
      </c>
      <c r="AG10">
        <v>-72418</v>
      </c>
      <c r="AH10" t="s">
        <v>607</v>
      </c>
    </row>
    <row r="11" spans="2:34" x14ac:dyDescent="0.2">
      <c r="B11" s="19" t="s">
        <v>10</v>
      </c>
      <c r="C11" s="18"/>
      <c r="D11" s="9" t="s">
        <v>218</v>
      </c>
      <c r="E11" s="10"/>
      <c r="F11" s="11"/>
      <c r="G11" s="11"/>
      <c r="H11" s="158">
        <v>8</v>
      </c>
      <c r="I11" s="28">
        <f t="shared" ref="I11:N11" si="15">I12+I13</f>
        <v>85690</v>
      </c>
      <c r="J11" s="28">
        <f t="shared" si="15"/>
        <v>120920</v>
      </c>
      <c r="K11" s="28">
        <f t="shared" si="15"/>
        <v>152103.9178</v>
      </c>
      <c r="L11" s="28">
        <f t="shared" si="15"/>
        <v>195572.47455000001</v>
      </c>
      <c r="M11" s="28">
        <f t="shared" si="15"/>
        <v>252097.19729000001</v>
      </c>
      <c r="N11" s="28">
        <f t="shared" si="15"/>
        <v>280876.74858000001</v>
      </c>
      <c r="O11" s="28">
        <f t="shared" ref="O11:P11" si="16">O12+O13</f>
        <v>290577.47453000001</v>
      </c>
      <c r="P11" s="28">
        <f t="shared" si="16"/>
        <v>290247.28921999998</v>
      </c>
      <c r="Q11" s="28">
        <f t="shared" ref="Q11:R11" si="17">Q12+Q13</f>
        <v>285510.47318000003</v>
      </c>
      <c r="R11" s="28">
        <f t="shared" si="17"/>
        <v>230184.79605</v>
      </c>
      <c r="S11" s="28">
        <f t="shared" ref="S11:T11" si="18">S12+S13</f>
        <v>238225.70571000001</v>
      </c>
      <c r="T11" s="28">
        <f t="shared" si="18"/>
        <v>212034.70592000004</v>
      </c>
      <c r="U11" s="28">
        <f t="shared" ref="U11:V11" si="19">U12+U13</f>
        <v>214394.76911999998</v>
      </c>
      <c r="V11" s="28">
        <f t="shared" si="19"/>
        <v>149688.66954</v>
      </c>
      <c r="W11" s="28">
        <f t="shared" ref="W11:X11" si="20">W12+W13</f>
        <v>162640.60156000001</v>
      </c>
      <c r="X11" s="28">
        <f t="shared" si="20"/>
        <v>170309.56679000001</v>
      </c>
      <c r="Y11" s="28">
        <f t="shared" ref="Y11:Z11" si="21">Y12+Y13</f>
        <v>148165.42217999999</v>
      </c>
      <c r="Z11" s="28">
        <f t="shared" si="21"/>
        <v>111233.50812000001</v>
      </c>
      <c r="AA11" t="s">
        <v>602</v>
      </c>
      <c r="AC11" t="s">
        <v>14</v>
      </c>
      <c r="AD11" t="s">
        <v>608</v>
      </c>
      <c r="AE11">
        <v>8</v>
      </c>
      <c r="AF11">
        <v>0</v>
      </c>
      <c r="AG11">
        <v>0</v>
      </c>
      <c r="AH11" t="s">
        <v>609</v>
      </c>
    </row>
    <row r="12" spans="2:34" x14ac:dyDescent="0.2">
      <c r="B12" s="31" t="s">
        <v>10</v>
      </c>
      <c r="C12" s="103">
        <v>1</v>
      </c>
      <c r="D12" s="32" t="s">
        <v>11</v>
      </c>
      <c r="E12" s="33"/>
      <c r="F12" s="34"/>
      <c r="G12" s="34"/>
      <c r="H12" s="159">
        <v>9</v>
      </c>
      <c r="I12" s="35">
        <f>'Vykazy HELIOS'!D17/1000</f>
        <v>21596</v>
      </c>
      <c r="J12" s="104">
        <f>'Vykazy HELIOS'!E17/1000</f>
        <v>33952</v>
      </c>
      <c r="K12" s="104">
        <f>'Vykazy HELIOS'!F17/1000</f>
        <v>41002.928449999999</v>
      </c>
      <c r="L12" s="104">
        <f>'Vykazy HELIOS'!G17/1000</f>
        <v>56786.729429999999</v>
      </c>
      <c r="M12" s="104">
        <f>'Vykazy HELIOS'!H17/1000</f>
        <v>78229.714269999997</v>
      </c>
      <c r="N12" s="104">
        <f>'Vykazy HELIOS'!I17/1000</f>
        <v>109025.86631</v>
      </c>
      <c r="O12" s="104">
        <f>'Vykazy HELIOS'!J17/1000</f>
        <v>107437.27119</v>
      </c>
      <c r="P12" s="104">
        <f>'Vykazy HELIOS'!K17/1000</f>
        <v>103250.17237</v>
      </c>
      <c r="Q12" s="104">
        <f>'Vykazy HELIOS'!L17/1000</f>
        <v>83850.685219999999</v>
      </c>
      <c r="R12" s="104">
        <f>'Vykazy HELIOS'!M17/1000</f>
        <v>64376.943920000005</v>
      </c>
      <c r="S12" s="104">
        <f>'Vykazy HELIOS'!N17/1000</f>
        <v>63149.999340000002</v>
      </c>
      <c r="T12" s="104">
        <f>'Vykazy HELIOS'!O17/1000</f>
        <v>69286.439339999997</v>
      </c>
      <c r="U12" s="104">
        <f>'Vykazy HELIOS'!P17/1000</f>
        <v>69490.126140000008</v>
      </c>
      <c r="V12" s="104">
        <f>'Vykazy HELIOS'!Q17/1000</f>
        <v>52094.595289999997</v>
      </c>
      <c r="W12" s="104">
        <f>'Vykazy HELIOS'!R17/1000</f>
        <v>57912.871380000004</v>
      </c>
      <c r="X12" s="104">
        <f>'Vykazy HELIOS'!S17/1000</f>
        <v>72853.363580000005</v>
      </c>
      <c r="Y12" s="104">
        <f>'Vykazy HELIOS'!T17/1000</f>
        <v>58181.409670000001</v>
      </c>
      <c r="Z12" s="104">
        <f>'Vykazy HELIOS'!U17/1000</f>
        <v>45013.285400000001</v>
      </c>
      <c r="AA12" t="s">
        <v>604</v>
      </c>
      <c r="AC12" t="s">
        <v>16</v>
      </c>
      <c r="AD12" s="342" t="s">
        <v>15</v>
      </c>
      <c r="AE12">
        <v>9</v>
      </c>
      <c r="AF12">
        <v>61267236.619999997</v>
      </c>
      <c r="AG12">
        <v>61803979.200000003</v>
      </c>
      <c r="AH12" t="s">
        <v>610</v>
      </c>
    </row>
    <row r="13" spans="2:34" x14ac:dyDescent="0.2">
      <c r="B13" s="37"/>
      <c r="C13" s="105">
        <v>2</v>
      </c>
      <c r="D13" s="39" t="s">
        <v>12</v>
      </c>
      <c r="E13" s="40"/>
      <c r="F13" s="41"/>
      <c r="G13" s="41"/>
      <c r="H13" s="162">
        <v>10</v>
      </c>
      <c r="I13" s="106">
        <f>'Vykazy HELIOS'!D18/1000</f>
        <v>64094</v>
      </c>
      <c r="J13" s="107">
        <f>'Vykazy HELIOS'!E18/1000</f>
        <v>86968</v>
      </c>
      <c r="K13" s="107">
        <f>'Vykazy HELIOS'!F18/1000</f>
        <v>111100.98934999999</v>
      </c>
      <c r="L13" s="107">
        <f>'Vykazy HELIOS'!G18/1000</f>
        <v>138785.74512000001</v>
      </c>
      <c r="M13" s="107">
        <f>'Vykazy HELIOS'!H18/1000</f>
        <v>173867.48302000001</v>
      </c>
      <c r="N13" s="107">
        <f>'Vykazy HELIOS'!I18/1000</f>
        <v>171850.88227</v>
      </c>
      <c r="O13" s="107">
        <f>'Vykazy HELIOS'!J18/1000</f>
        <v>183140.20334000001</v>
      </c>
      <c r="P13" s="107">
        <f>'Vykazy HELIOS'!K18/1000</f>
        <v>186997.11684999999</v>
      </c>
      <c r="Q13" s="107">
        <f>'Vykazy HELIOS'!L18/1000</f>
        <v>201659.78796000002</v>
      </c>
      <c r="R13" s="107">
        <f>'Vykazy HELIOS'!M18/1000</f>
        <v>165807.85212999998</v>
      </c>
      <c r="S13" s="107">
        <f>'Vykazy HELIOS'!N18/1000</f>
        <v>175075.70637</v>
      </c>
      <c r="T13" s="107">
        <f>'Vykazy HELIOS'!O18/1000</f>
        <v>142748.26658000002</v>
      </c>
      <c r="U13" s="107">
        <f>'Vykazy HELIOS'!P18/1000</f>
        <v>144904.64297999998</v>
      </c>
      <c r="V13" s="107">
        <f>'Vykazy HELIOS'!Q18/1000</f>
        <v>97594.074250000005</v>
      </c>
      <c r="W13" s="107">
        <f>'Vykazy HELIOS'!R18/1000</f>
        <v>104727.73018000001</v>
      </c>
      <c r="X13" s="107">
        <f>'Vykazy HELIOS'!S18/1000</f>
        <v>97456.203209999992</v>
      </c>
      <c r="Y13" s="107">
        <f>'Vykazy HELIOS'!T18/1000</f>
        <v>89984.01251</v>
      </c>
      <c r="Z13" s="107">
        <f>'Vykazy HELIOS'!U18/1000</f>
        <v>66220.222720000005</v>
      </c>
      <c r="AA13" t="s">
        <v>605</v>
      </c>
      <c r="AC13" t="s">
        <v>611</v>
      </c>
      <c r="AD13" s="342" t="s">
        <v>155</v>
      </c>
      <c r="AE13">
        <v>10</v>
      </c>
      <c r="AF13">
        <v>45632455.740000002</v>
      </c>
      <c r="AG13">
        <v>46080732.969999999</v>
      </c>
      <c r="AH13" s="342" t="s">
        <v>612</v>
      </c>
    </row>
    <row r="14" spans="2:34" x14ac:dyDescent="0.2">
      <c r="B14" s="21" t="s">
        <v>4</v>
      </c>
      <c r="C14" s="22"/>
      <c r="D14" s="12" t="s">
        <v>13</v>
      </c>
      <c r="E14" s="13"/>
      <c r="F14" s="14"/>
      <c r="G14" s="14"/>
      <c r="H14" s="161">
        <v>11</v>
      </c>
      <c r="I14" s="29">
        <f t="shared" ref="I14:N14" si="22">I6+I7-I11</f>
        <v>15985</v>
      </c>
      <c r="J14" s="29">
        <f t="shared" si="22"/>
        <v>25522</v>
      </c>
      <c r="K14" s="29">
        <f t="shared" si="22"/>
        <v>28948.454839999991</v>
      </c>
      <c r="L14" s="29">
        <f t="shared" si="22"/>
        <v>29002.66274</v>
      </c>
      <c r="M14" s="29">
        <f t="shared" si="22"/>
        <v>60024.562019999983</v>
      </c>
      <c r="N14" s="29">
        <f t="shared" si="22"/>
        <v>71886.905439999944</v>
      </c>
      <c r="O14" s="29">
        <f t="shared" ref="O14:P14" si="23">O6+O7-O11</f>
        <v>105245.07349999994</v>
      </c>
      <c r="P14" s="29">
        <f t="shared" si="23"/>
        <v>126358.09682000004</v>
      </c>
      <c r="Q14" s="29">
        <f t="shared" ref="Q14:R14" si="24">Q6+Q7-Q11</f>
        <v>157520.52373999992</v>
      </c>
      <c r="R14" s="29">
        <f t="shared" si="24"/>
        <v>175923.35196999996</v>
      </c>
      <c r="S14" s="29">
        <f t="shared" ref="S14:T14" si="25">S6+S7-S11</f>
        <v>164838.30976999999</v>
      </c>
      <c r="T14" s="29">
        <f t="shared" si="25"/>
        <v>173839.33655999997</v>
      </c>
      <c r="U14" s="29">
        <f t="shared" ref="U14:V14" si="26">U6+U7-U11</f>
        <v>175532.74385000006</v>
      </c>
      <c r="V14" s="29">
        <f t="shared" si="26"/>
        <v>120834.96232999998</v>
      </c>
      <c r="W14" s="29">
        <f t="shared" ref="W14:X14" si="27">W6+W7-W11</f>
        <v>131973.0583</v>
      </c>
      <c r="X14" s="29">
        <f t="shared" si="27"/>
        <v>127644.27575999999</v>
      </c>
      <c r="Y14" s="29">
        <f t="shared" ref="Y14:Z14" si="28">Y6+Y7-Y11</f>
        <v>138180.31218000001</v>
      </c>
      <c r="Z14" s="29">
        <f t="shared" si="28"/>
        <v>97591.451689999987</v>
      </c>
      <c r="AC14" t="s">
        <v>613</v>
      </c>
      <c r="AD14" t="s">
        <v>614</v>
      </c>
      <c r="AE14">
        <v>11</v>
      </c>
      <c r="AF14">
        <v>15634780.880000001</v>
      </c>
      <c r="AG14">
        <v>15723246.23</v>
      </c>
      <c r="AH14" t="s">
        <v>615</v>
      </c>
    </row>
    <row r="15" spans="2:34" x14ac:dyDescent="0.2">
      <c r="B15" s="19" t="s">
        <v>14</v>
      </c>
      <c r="C15" s="18"/>
      <c r="D15" s="9" t="s">
        <v>15</v>
      </c>
      <c r="E15" s="10"/>
      <c r="F15" s="11"/>
      <c r="G15" s="11"/>
      <c r="H15" s="158">
        <v>12</v>
      </c>
      <c r="I15" s="28">
        <f t="shared" ref="I15:N15" si="29">SUM(I16:I19)</f>
        <v>4542</v>
      </c>
      <c r="J15" s="28">
        <f t="shared" si="29"/>
        <v>9707</v>
      </c>
      <c r="K15" s="28">
        <f t="shared" si="29"/>
        <v>15232.504999999999</v>
      </c>
      <c r="L15" s="28">
        <f t="shared" si="29"/>
        <v>19435.085599999999</v>
      </c>
      <c r="M15" s="28">
        <f t="shared" si="29"/>
        <v>23643.712579999999</v>
      </c>
      <c r="N15" s="28">
        <f t="shared" si="29"/>
        <v>27923.807329999996</v>
      </c>
      <c r="O15" s="28">
        <f t="shared" ref="O15:P15" si="30">SUM(O16:O19)</f>
        <v>31770.216950000002</v>
      </c>
      <c r="P15" s="28">
        <f t="shared" si="30"/>
        <v>35165.492319999998</v>
      </c>
      <c r="Q15" s="28">
        <f t="shared" ref="Q15:R15" si="31">SUM(Q16:Q19)</f>
        <v>38014.718559999994</v>
      </c>
      <c r="R15" s="28">
        <f t="shared" si="31"/>
        <v>38379.624610000006</v>
      </c>
      <c r="S15" s="28">
        <f t="shared" ref="S15:T15" si="32">SUM(S16:S19)</f>
        <v>40458.854510000005</v>
      </c>
      <c r="T15" s="28">
        <f t="shared" si="32"/>
        <v>43593.99452</v>
      </c>
      <c r="U15" s="28">
        <f t="shared" ref="U15:V15" si="33">SUM(U16:U19)</f>
        <v>47807.033629999998</v>
      </c>
      <c r="V15" s="28">
        <f t="shared" si="33"/>
        <v>43557.466479999995</v>
      </c>
      <c r="W15" s="28">
        <f t="shared" ref="W15:X15" si="34">SUM(W16:W19)</f>
        <v>54768.058669999991</v>
      </c>
      <c r="X15" s="28">
        <f t="shared" si="34"/>
        <v>61803.979199999994</v>
      </c>
      <c r="Y15" s="28">
        <f t="shared" ref="Y15:Z15" si="35">SUM(Y16:Y19)</f>
        <v>61542.785319999995</v>
      </c>
      <c r="Z15" s="28">
        <f t="shared" si="35"/>
        <v>46174.693720000003</v>
      </c>
      <c r="AA15" t="s">
        <v>610</v>
      </c>
      <c r="AC15" t="s">
        <v>616</v>
      </c>
      <c r="AD15" s="342" t="s">
        <v>353</v>
      </c>
      <c r="AE15">
        <v>12</v>
      </c>
      <c r="AF15">
        <v>15091777.699999999</v>
      </c>
      <c r="AG15">
        <v>15152793.07</v>
      </c>
      <c r="AH15" t="s">
        <v>617</v>
      </c>
    </row>
    <row r="16" spans="2:34" x14ac:dyDescent="0.2">
      <c r="B16" s="31" t="s">
        <v>14</v>
      </c>
      <c r="C16" s="103">
        <v>1</v>
      </c>
      <c r="D16" s="32" t="s">
        <v>155</v>
      </c>
      <c r="E16" s="33"/>
      <c r="F16" s="34"/>
      <c r="G16" s="34"/>
      <c r="H16" s="159">
        <v>13</v>
      </c>
      <c r="I16" s="35">
        <f>'Vykazy HELIOS'!D21/1000</f>
        <v>3346</v>
      </c>
      <c r="J16" s="115">
        <f>'Vykazy HELIOS'!E21/1000</f>
        <v>7171</v>
      </c>
      <c r="K16" s="115">
        <f>'Vykazy HELIOS'!F21/1000</f>
        <v>11424.157999999999</v>
      </c>
      <c r="L16" s="115">
        <f>'Vykazy HELIOS'!G21/1000</f>
        <v>14432.630859999999</v>
      </c>
      <c r="M16" s="115">
        <f>'Vykazy HELIOS'!H21/1000</f>
        <v>17586.210360000001</v>
      </c>
      <c r="N16" s="115">
        <f>'Vykazy HELIOS'!I21/1000</f>
        <v>20743.336899999998</v>
      </c>
      <c r="O16" s="115">
        <f>'Vykazy HELIOS'!J21/1000</f>
        <v>23548.908420000003</v>
      </c>
      <c r="P16" s="115">
        <f>'Vykazy HELIOS'!K21/1000</f>
        <v>26078.43591</v>
      </c>
      <c r="Q16" s="115">
        <f>'Vykazy HELIOS'!L21/1000</f>
        <v>28188.328229999999</v>
      </c>
      <c r="R16" s="115">
        <f>'Vykazy HELIOS'!M21/1000</f>
        <v>28479.245850000003</v>
      </c>
      <c r="S16" s="115">
        <f>'Vykazy HELIOS'!N21/1000</f>
        <v>30040.42266</v>
      </c>
      <c r="T16" s="115">
        <f>'Vykazy HELIOS'!O21/1000</f>
        <v>32427.43477</v>
      </c>
      <c r="U16" s="115">
        <f>'Vykazy HELIOS'!P21/1000</f>
        <v>35655.768830000001</v>
      </c>
      <c r="V16" s="115">
        <f>'Vykazy HELIOS'!Q21/1000</f>
        <v>32424.49036</v>
      </c>
      <c r="W16" s="115">
        <f>'Vykazy HELIOS'!R21/1000</f>
        <v>40714.279659999993</v>
      </c>
      <c r="X16" s="115">
        <f>'Vykazy HELIOS'!S21/1000</f>
        <v>46080.732969999997</v>
      </c>
      <c r="Y16" s="115">
        <f>'Vykazy HELIOS'!T21/1000</f>
        <v>45880.054479999999</v>
      </c>
      <c r="Z16" s="115">
        <f>'Vykazy HELIOS'!U21/1000</f>
        <v>34399.641000000003</v>
      </c>
      <c r="AA16" t="s">
        <v>612</v>
      </c>
      <c r="AC16" t="s">
        <v>618</v>
      </c>
      <c r="AD16" s="342" t="s">
        <v>619</v>
      </c>
      <c r="AE16">
        <v>13</v>
      </c>
      <c r="AF16">
        <v>543003.18000000005</v>
      </c>
      <c r="AG16">
        <v>570453.16</v>
      </c>
      <c r="AH16" t="s">
        <v>620</v>
      </c>
    </row>
    <row r="17" spans="2:34" x14ac:dyDescent="0.2">
      <c r="B17" s="116"/>
      <c r="C17" s="110">
        <v>2</v>
      </c>
      <c r="D17" s="111" t="s">
        <v>167</v>
      </c>
      <c r="E17" s="1"/>
      <c r="F17" s="112"/>
      <c r="G17" s="112"/>
      <c r="H17" s="160">
        <v>14</v>
      </c>
      <c r="I17" s="113">
        <f>'Vykazy HELIOS'!D22/1000</f>
        <v>0</v>
      </c>
      <c r="J17" s="117">
        <f>'Vykazy HELIOS'!E22/1000</f>
        <v>0</v>
      </c>
      <c r="K17" s="117">
        <f>'Vykazy HELIOS'!F22/1000</f>
        <v>0</v>
      </c>
      <c r="L17" s="117">
        <f>'Vykazy HELIOS'!G22/1000</f>
        <v>0</v>
      </c>
      <c r="M17" s="117">
        <f>'Vykazy HELIOS'!H22/1000</f>
        <v>0</v>
      </c>
      <c r="N17" s="117">
        <f>'Vykazy HELIOS'!I22/1000</f>
        <v>0</v>
      </c>
      <c r="O17" s="117">
        <f>'Vykazy HELIOS'!J22/1000</f>
        <v>0</v>
      </c>
      <c r="P17" s="117">
        <f>'Vykazy HELIOS'!K22/1000</f>
        <v>0</v>
      </c>
      <c r="Q17" s="117">
        <f>'Vykazy HELIOS'!L22/1000</f>
        <v>0</v>
      </c>
      <c r="R17" s="117">
        <f>'Vykazy HELIOS'!M22/1000</f>
        <v>0</v>
      </c>
      <c r="S17" s="117">
        <f>'Vykazy HELIOS'!N22/1000</f>
        <v>0</v>
      </c>
      <c r="T17" s="117">
        <f>'Vykazy HELIOS'!O22/1000</f>
        <v>0</v>
      </c>
      <c r="U17" s="117">
        <f>'Vykazy HELIOS'!P22/1000</f>
        <v>0</v>
      </c>
      <c r="V17" s="117">
        <f>'Vykazy HELIOS'!Q22/1000</f>
        <v>0</v>
      </c>
      <c r="W17" s="117">
        <f>'Vykazy HELIOS'!R22/1000</f>
        <v>0</v>
      </c>
      <c r="X17" s="117">
        <f>'Vykazy HELIOS'!S22/1000</f>
        <v>0</v>
      </c>
      <c r="Y17" s="117">
        <f>'Vykazy HELIOS'!T22/1000</f>
        <v>0</v>
      </c>
      <c r="Z17" s="117">
        <f>'Vykazy HELIOS'!U22/1000</f>
        <v>0</v>
      </c>
      <c r="AC17" t="s">
        <v>19</v>
      </c>
      <c r="AD17" t="s">
        <v>621</v>
      </c>
      <c r="AE17">
        <v>14</v>
      </c>
      <c r="AF17">
        <v>21575069.280000001</v>
      </c>
      <c r="AG17">
        <v>39317366.229999997</v>
      </c>
      <c r="AH17" t="s">
        <v>622</v>
      </c>
    </row>
    <row r="18" spans="2:34" x14ac:dyDescent="0.2">
      <c r="B18" s="116"/>
      <c r="C18" s="110">
        <v>3</v>
      </c>
      <c r="D18" s="111" t="s">
        <v>168</v>
      </c>
      <c r="E18" s="1"/>
      <c r="F18" s="112"/>
      <c r="G18" s="112"/>
      <c r="H18" s="160">
        <v>15</v>
      </c>
      <c r="I18" s="113">
        <f>'Vykazy HELIOS'!D23/1000</f>
        <v>1166</v>
      </c>
      <c r="J18" s="117">
        <f>'Vykazy HELIOS'!E23/1000</f>
        <v>2496</v>
      </c>
      <c r="K18" s="117">
        <f>'Vykazy HELIOS'!F23/1000</f>
        <v>3753.8470000000002</v>
      </c>
      <c r="L18" s="117">
        <f>'Vykazy HELIOS'!G23/1000</f>
        <v>4875.3029200000001</v>
      </c>
      <c r="M18" s="117">
        <f>'Vykazy HELIOS'!H23/1000</f>
        <v>5887.7612900000004</v>
      </c>
      <c r="N18" s="117">
        <f>'Vykazy HELIOS'!I23/1000</f>
        <v>6978.5413899999994</v>
      </c>
      <c r="O18" s="117">
        <f>'Vykazy HELIOS'!J23/1000</f>
        <v>7947.6200599999993</v>
      </c>
      <c r="P18" s="117">
        <f>'Vykazy HELIOS'!K23/1000</f>
        <v>8802.4487899999986</v>
      </c>
      <c r="Q18" s="117">
        <f>'Vykazy HELIOS'!L23/1000</f>
        <v>9515.2139700000007</v>
      </c>
      <c r="R18" s="117">
        <f>'Vykazy HELIOS'!M23/1000</f>
        <v>9576.3843300000008</v>
      </c>
      <c r="S18" s="117">
        <f>'Vykazy HELIOS'!N23/1000</f>
        <v>10109.810160000001</v>
      </c>
      <c r="T18" s="117">
        <f>'Vykazy HELIOS'!O23/1000</f>
        <v>10905.88869</v>
      </c>
      <c r="U18" s="117">
        <f>'Vykazy HELIOS'!P23/1000</f>
        <v>11867.080529999999</v>
      </c>
      <c r="V18" s="117">
        <f>'Vykazy HELIOS'!Q23/1000</f>
        <v>10690.73805</v>
      </c>
      <c r="W18" s="117">
        <f>'Vykazy HELIOS'!R23/1000</f>
        <v>13526.36687</v>
      </c>
      <c r="X18" s="117">
        <f>'Vykazy HELIOS'!S23/1000</f>
        <v>15152.79307</v>
      </c>
      <c r="Y18" s="117">
        <f>'Vykazy HELIOS'!T23/1000</f>
        <v>15128.83786</v>
      </c>
      <c r="Z18" s="117">
        <f>'Vykazy HELIOS'!U23/1000</f>
        <v>11384.182000000001</v>
      </c>
      <c r="AA18" t="s">
        <v>617</v>
      </c>
      <c r="AC18" t="s">
        <v>623</v>
      </c>
      <c r="AD18" t="s">
        <v>624</v>
      </c>
      <c r="AE18">
        <v>15</v>
      </c>
      <c r="AF18">
        <v>21575069.280000001</v>
      </c>
      <c r="AG18">
        <v>39551358.729999997</v>
      </c>
      <c r="AH18" t="s">
        <v>625</v>
      </c>
    </row>
    <row r="19" spans="2:34" x14ac:dyDescent="0.2">
      <c r="B19" s="37"/>
      <c r="C19" s="105">
        <v>4</v>
      </c>
      <c r="D19" s="39" t="s">
        <v>156</v>
      </c>
      <c r="E19" s="40"/>
      <c r="F19" s="41"/>
      <c r="G19" s="41"/>
      <c r="H19" s="162">
        <v>16</v>
      </c>
      <c r="I19" s="106">
        <f>'Vykazy HELIOS'!D24/1000</f>
        <v>30</v>
      </c>
      <c r="J19" s="42">
        <f>'Vykazy HELIOS'!E24/1000</f>
        <v>40</v>
      </c>
      <c r="K19" s="42">
        <f>'Vykazy HELIOS'!F24/1000</f>
        <v>54.5</v>
      </c>
      <c r="L19" s="42">
        <f>'Vykazy HELIOS'!G24/1000</f>
        <v>127.15182</v>
      </c>
      <c r="M19" s="42">
        <f>'Vykazy HELIOS'!H24/1000</f>
        <v>169.74092999999999</v>
      </c>
      <c r="N19" s="42">
        <f>'Vykazy HELIOS'!I24/1000</f>
        <v>201.92904000000001</v>
      </c>
      <c r="O19" s="42">
        <f>'Vykazy HELIOS'!J24/1000</f>
        <v>273.68847</v>
      </c>
      <c r="P19" s="42">
        <f>'Vykazy HELIOS'!K24/1000</f>
        <v>284.60762</v>
      </c>
      <c r="Q19" s="42">
        <f>'Vykazy HELIOS'!L24/1000</f>
        <v>311.17635999999999</v>
      </c>
      <c r="R19" s="42">
        <f>'Vykazy HELIOS'!M24/1000</f>
        <v>323.99442999999997</v>
      </c>
      <c r="S19" s="42">
        <f>'Vykazy HELIOS'!N24/1000</f>
        <v>308.62169</v>
      </c>
      <c r="T19" s="42">
        <f>'Vykazy HELIOS'!O24/1000</f>
        <v>260.67106000000001</v>
      </c>
      <c r="U19" s="42">
        <f>'Vykazy HELIOS'!P24/1000</f>
        <v>284.18427000000003</v>
      </c>
      <c r="V19" s="42">
        <f>'Vykazy HELIOS'!Q24/1000</f>
        <v>442.23806999999999</v>
      </c>
      <c r="W19" s="42">
        <f>'Vykazy HELIOS'!R24/1000</f>
        <v>527.41214000000002</v>
      </c>
      <c r="X19" s="42">
        <f>'Vykazy HELIOS'!S24/1000</f>
        <v>570.45316000000003</v>
      </c>
      <c r="Y19" s="42">
        <f>'Vykazy HELIOS'!T24/1000</f>
        <v>533.89297999999997</v>
      </c>
      <c r="Z19" s="42">
        <f>'Vykazy HELIOS'!U24/1000</f>
        <v>390.87071999999995</v>
      </c>
      <c r="AA19" t="s">
        <v>620</v>
      </c>
      <c r="AC19" t="s">
        <v>626</v>
      </c>
      <c r="AD19" t="s">
        <v>627</v>
      </c>
      <c r="AE19">
        <v>16</v>
      </c>
      <c r="AF19">
        <v>21575069.280000001</v>
      </c>
      <c r="AG19">
        <v>39551358.729999997</v>
      </c>
      <c r="AH19" t="s">
        <v>628</v>
      </c>
    </row>
    <row r="20" spans="2:34" x14ac:dyDescent="0.2">
      <c r="B20" s="19" t="s">
        <v>16</v>
      </c>
      <c r="C20" s="18"/>
      <c r="D20" s="9" t="s">
        <v>17</v>
      </c>
      <c r="E20" s="10"/>
      <c r="F20" s="11"/>
      <c r="G20" s="11"/>
      <c r="H20" s="158">
        <v>17</v>
      </c>
      <c r="I20" s="30">
        <f>'Vykazy HELIOS'!D25/1000</f>
        <v>494</v>
      </c>
      <c r="J20" s="26">
        <f>'Vykazy HELIOS'!E25/1000</f>
        <v>1182</v>
      </c>
      <c r="K20" s="26">
        <f>'Vykazy HELIOS'!F25/1000</f>
        <v>2079.3069500000001</v>
      </c>
      <c r="L20" s="26">
        <f>'Vykazy HELIOS'!G25/1000</f>
        <v>3010.1500599999999</v>
      </c>
      <c r="M20" s="26">
        <f>'Vykazy HELIOS'!H25/1000</f>
        <v>7894.9332800000002</v>
      </c>
      <c r="N20" s="26">
        <f>'Vykazy HELIOS'!I25/1000</f>
        <v>10439.439619999999</v>
      </c>
      <c r="O20" s="26">
        <f>'Vykazy HELIOS'!J25/1000</f>
        <v>10028.69152</v>
      </c>
      <c r="P20" s="26">
        <f>'Vykazy HELIOS'!K25/1000</f>
        <v>12400.27649</v>
      </c>
      <c r="Q20" s="26">
        <f>'Vykazy HELIOS'!L25/1000</f>
        <v>11895.433060000001</v>
      </c>
      <c r="R20" s="26">
        <f>'Vykazy HELIOS'!M25/1000</f>
        <v>26596.442940000001</v>
      </c>
      <c r="S20" s="26">
        <f>'Vykazy HELIOS'!N25/1000</f>
        <v>22634.67685</v>
      </c>
      <c r="T20" s="26">
        <f>'Vykazy HELIOS'!O25/1000</f>
        <v>28933.280579999999</v>
      </c>
      <c r="U20" s="26">
        <f>'Vykazy HELIOS'!P25/1000</f>
        <v>31932.23891</v>
      </c>
      <c r="V20" s="26">
        <f>'Vykazy HELIOS'!Q25/1000</f>
        <v>28871.226690000003</v>
      </c>
      <c r="W20" s="26">
        <f>'Vykazy HELIOS'!R25/1000</f>
        <v>27558.13566</v>
      </c>
      <c r="X20" s="26">
        <f>'Vykazy HELIOS'!S25/1000</f>
        <v>23961.191930000001</v>
      </c>
      <c r="Y20" s="26">
        <f>'Vykazy HELIOS'!T25/1000</f>
        <v>19961.694010000003</v>
      </c>
      <c r="Z20" s="26">
        <f>'Vykazy HELIOS'!U25/1000</f>
        <v>20135.182820000002</v>
      </c>
      <c r="AA20" s="3"/>
      <c r="AB20" s="3"/>
      <c r="AC20" s="3" t="s">
        <v>629</v>
      </c>
      <c r="AD20" s="3" t="s">
        <v>630</v>
      </c>
      <c r="AE20" s="3">
        <v>17</v>
      </c>
      <c r="AF20" s="3">
        <v>0</v>
      </c>
      <c r="AG20">
        <v>0</v>
      </c>
      <c r="AH20" t="s">
        <v>631</v>
      </c>
    </row>
    <row r="21" spans="2:34" x14ac:dyDescent="0.2">
      <c r="B21" s="19" t="s">
        <v>19</v>
      </c>
      <c r="C21" s="18"/>
      <c r="D21" s="9" t="s">
        <v>210</v>
      </c>
      <c r="E21" s="10"/>
      <c r="F21" s="11"/>
      <c r="G21" s="11"/>
      <c r="H21" s="158">
        <v>18</v>
      </c>
      <c r="I21" s="30">
        <f>'Vykazy HELIOS'!D26/1000</f>
        <v>2209</v>
      </c>
      <c r="J21" s="26">
        <f>'Vykazy HELIOS'!E26/1000</f>
        <v>2900</v>
      </c>
      <c r="K21" s="26">
        <f>'Vykazy HELIOS'!F26/1000</f>
        <v>5034.6160999999993</v>
      </c>
      <c r="L21" s="26">
        <f>'Vykazy HELIOS'!G26/1000</f>
        <v>7153.31</v>
      </c>
      <c r="M21" s="26">
        <f>'Vykazy HELIOS'!H26/1000</f>
        <v>12397.793369999999</v>
      </c>
      <c r="N21" s="26">
        <f>'Vykazy HELIOS'!I26/1000</f>
        <v>25394.138989999999</v>
      </c>
      <c r="O21" s="26">
        <f>'Vykazy HELIOS'!J26/1000</f>
        <v>41005.268899999995</v>
      </c>
      <c r="P21" s="26">
        <f>'Vykazy HELIOS'!K26/1000</f>
        <v>50146.137040000001</v>
      </c>
      <c r="Q21" s="26">
        <f>'Vykazy HELIOS'!L26/1000</f>
        <v>68714.369139999995</v>
      </c>
      <c r="R21" s="26">
        <f>'Vykazy HELIOS'!M26/1000</f>
        <v>93516.886040000012</v>
      </c>
      <c r="S21" s="26">
        <f>'Vykazy HELIOS'!N26/1000</f>
        <v>92536.421629999997</v>
      </c>
      <c r="T21" s="26">
        <f>'Vykazy HELIOS'!O26/1000</f>
        <v>79816.923719999992</v>
      </c>
      <c r="U21" s="26">
        <f>'Vykazy HELIOS'!P26/1000</f>
        <v>69835.034419999996</v>
      </c>
      <c r="V21" s="26">
        <f>'Vykazy HELIOS'!Q26/1000</f>
        <v>47780.208490000005</v>
      </c>
      <c r="W21" s="26">
        <f>'Vykazy HELIOS'!R26/1000</f>
        <v>48190.40165</v>
      </c>
      <c r="X21" s="26">
        <f>'Vykazy HELIOS'!S26/1000</f>
        <v>39551.35873</v>
      </c>
      <c r="Y21" s="26">
        <f>'Vykazy HELIOS'!T26/1000</f>
        <v>53452.656280000003</v>
      </c>
      <c r="Z21" s="26">
        <f>'Vykazy HELIOS'!U26/1000</f>
        <v>12139.725050000001</v>
      </c>
      <c r="AA21" s="3"/>
      <c r="AB21" s="3"/>
      <c r="AC21" s="3" t="s">
        <v>632</v>
      </c>
      <c r="AD21" s="3" t="s">
        <v>633</v>
      </c>
      <c r="AE21" s="3">
        <v>18</v>
      </c>
      <c r="AF21" s="3">
        <v>0</v>
      </c>
      <c r="AG21">
        <v>0</v>
      </c>
      <c r="AH21" t="s">
        <v>634</v>
      </c>
    </row>
    <row r="22" spans="2:34" x14ac:dyDescent="0.2">
      <c r="B22" s="17" t="s">
        <v>18</v>
      </c>
      <c r="C22" s="18"/>
      <c r="D22" s="9" t="s">
        <v>169</v>
      </c>
      <c r="E22" s="10"/>
      <c r="F22" s="11"/>
      <c r="G22" s="11"/>
      <c r="H22" s="158">
        <v>19</v>
      </c>
      <c r="I22" s="28">
        <f t="shared" ref="I22:N22" si="36">I23+I24</f>
        <v>6</v>
      </c>
      <c r="J22" s="28">
        <f t="shared" si="36"/>
        <v>309</v>
      </c>
      <c r="K22" s="28">
        <f t="shared" si="36"/>
        <v>27.759599999999999</v>
      </c>
      <c r="L22" s="28">
        <f t="shared" si="36"/>
        <v>3031.0083399999999</v>
      </c>
      <c r="M22" s="28">
        <f t="shared" si="36"/>
        <v>5515.2974800000002</v>
      </c>
      <c r="N22" s="28">
        <f t="shared" si="36"/>
        <v>6179.26901</v>
      </c>
      <c r="O22" s="28">
        <f t="shared" ref="O22:P22" si="37">O23+O24</f>
        <v>4773.8133600000001</v>
      </c>
      <c r="P22" s="28">
        <f t="shared" si="37"/>
        <v>7619.76451</v>
      </c>
      <c r="Q22" s="28">
        <f t="shared" ref="Q22:R22" si="38">Q23+Q24</f>
        <v>6244.9959900000003</v>
      </c>
      <c r="R22" s="28">
        <f t="shared" si="38"/>
        <v>5597.1034600000003</v>
      </c>
      <c r="S22" s="28">
        <f t="shared" ref="S22:T22" si="39">S23+S24</f>
        <v>5298.4809500000001</v>
      </c>
      <c r="T22" s="28">
        <f t="shared" si="39"/>
        <v>3027.2265600000001</v>
      </c>
      <c r="U22" s="28">
        <f t="shared" ref="U22:V22" si="40">U23+U24</f>
        <v>3020.5747999999999</v>
      </c>
      <c r="V22" s="28">
        <f t="shared" si="40"/>
        <v>5153.9275900000002</v>
      </c>
      <c r="W22" s="28">
        <f t="shared" ref="W22:X22" si="41">W23+W24</f>
        <v>3970.5960700000001</v>
      </c>
      <c r="X22" s="28">
        <f t="shared" si="41"/>
        <v>6163.4705099999992</v>
      </c>
      <c r="Y22" s="28">
        <f t="shared" ref="Y22:Z22" si="42">Y23+Y24</f>
        <v>5050.7017400000004</v>
      </c>
      <c r="Z22" s="28">
        <f t="shared" si="42"/>
        <v>3518.6968499999998</v>
      </c>
      <c r="AA22" s="3"/>
      <c r="AB22" s="3"/>
      <c r="AC22" s="3" t="s">
        <v>635</v>
      </c>
      <c r="AD22" s="3" t="s">
        <v>636</v>
      </c>
      <c r="AE22" s="3">
        <v>19</v>
      </c>
      <c r="AF22" s="3">
        <v>0</v>
      </c>
      <c r="AG22">
        <v>-233992.5</v>
      </c>
      <c r="AH22" t="s">
        <v>637</v>
      </c>
    </row>
    <row r="23" spans="2:34" x14ac:dyDescent="0.2">
      <c r="B23" s="102" t="s">
        <v>18</v>
      </c>
      <c r="C23" s="103">
        <v>1</v>
      </c>
      <c r="D23" s="32" t="s">
        <v>170</v>
      </c>
      <c r="E23" s="33"/>
      <c r="F23" s="34"/>
      <c r="G23" s="34"/>
      <c r="H23" s="159">
        <v>20</v>
      </c>
      <c r="I23" s="35">
        <f>'Vykazy HELIOS'!D28/1000</f>
        <v>0</v>
      </c>
      <c r="J23" s="104">
        <f>'Vykazy HELIOS'!E28/1000</f>
        <v>107</v>
      </c>
      <c r="K23" s="104">
        <f>'Vykazy HELIOS'!F28/1000</f>
        <v>0</v>
      </c>
      <c r="L23" s="104">
        <f>'Vykazy HELIOS'!G28/1000</f>
        <v>0</v>
      </c>
      <c r="M23" s="104">
        <f>'Vykazy HELIOS'!H28/1000</f>
        <v>200</v>
      </c>
      <c r="N23" s="104">
        <f>'Vykazy HELIOS'!I28/1000</f>
        <v>0</v>
      </c>
      <c r="O23" s="104">
        <f>'Vykazy HELIOS'!J28/1000</f>
        <v>0</v>
      </c>
      <c r="P23" s="104">
        <f>'Vykazy HELIOS'!K28/1000</f>
        <v>0</v>
      </c>
      <c r="Q23" s="104">
        <f>'Vykazy HELIOS'!L28/1000</f>
        <v>0</v>
      </c>
      <c r="R23" s="104">
        <f>'Vykazy HELIOS'!M28/1000</f>
        <v>402.5</v>
      </c>
      <c r="S23" s="104">
        <f>'Vykazy HELIOS'!N28/1000</f>
        <v>1350</v>
      </c>
      <c r="T23" s="104">
        <f>'Vykazy HELIOS'!O28/1000</f>
        <v>0</v>
      </c>
      <c r="U23" s="104">
        <f>'Vykazy HELIOS'!P28/1000</f>
        <v>0</v>
      </c>
      <c r="V23" s="104">
        <f>'Vykazy HELIOS'!Q28/1000</f>
        <v>1994.2331999999999</v>
      </c>
      <c r="W23" s="104">
        <f>'Vykazy HELIOS'!R28/1000</f>
        <v>0</v>
      </c>
      <c r="X23" s="104">
        <f>'Vykazy HELIOS'!S28/1000</f>
        <v>1302.28</v>
      </c>
      <c r="Y23" s="104">
        <f>'Vykazy HELIOS'!T28/1000</f>
        <v>680.89</v>
      </c>
      <c r="Z23" s="104">
        <f>'Vykazy HELIOS'!U28/1000</f>
        <v>151.92289000000002</v>
      </c>
      <c r="AA23" s="3"/>
      <c r="AB23" s="3"/>
      <c r="AC23" s="3" t="s">
        <v>18</v>
      </c>
      <c r="AD23" s="3" t="s">
        <v>160</v>
      </c>
      <c r="AE23" s="3">
        <v>20</v>
      </c>
      <c r="AF23" s="3">
        <v>7442501.8200000003</v>
      </c>
      <c r="AG23">
        <v>8221623.9699999997</v>
      </c>
      <c r="AH23" t="s">
        <v>638</v>
      </c>
    </row>
    <row r="24" spans="2:34" x14ac:dyDescent="0.2">
      <c r="B24" s="118"/>
      <c r="C24" s="105">
        <v>2</v>
      </c>
      <c r="D24" s="39" t="s">
        <v>171</v>
      </c>
      <c r="E24" s="40"/>
      <c r="F24" s="41"/>
      <c r="G24" s="41"/>
      <c r="H24" s="162">
        <v>21</v>
      </c>
      <c r="I24" s="106">
        <f>'Vykazy HELIOS'!D29/1000</f>
        <v>6</v>
      </c>
      <c r="J24" s="107">
        <f>'Vykazy HELIOS'!E29/1000</f>
        <v>202</v>
      </c>
      <c r="K24" s="107">
        <f>'Vykazy HELIOS'!F29/1000</f>
        <v>27.759599999999999</v>
      </c>
      <c r="L24" s="107">
        <f>'Vykazy HELIOS'!G29/1000</f>
        <v>3031.0083399999999</v>
      </c>
      <c r="M24" s="107">
        <f>'Vykazy HELIOS'!H29/1000</f>
        <v>5315.2974800000002</v>
      </c>
      <c r="N24" s="107">
        <f>'Vykazy HELIOS'!I29/1000</f>
        <v>6179.26901</v>
      </c>
      <c r="O24" s="107">
        <f>'Vykazy HELIOS'!J29/1000</f>
        <v>4773.8133600000001</v>
      </c>
      <c r="P24" s="107">
        <f>'Vykazy HELIOS'!K29/1000</f>
        <v>7619.76451</v>
      </c>
      <c r="Q24" s="107">
        <f>'Vykazy HELIOS'!L29/1000</f>
        <v>6244.9959900000003</v>
      </c>
      <c r="R24" s="107">
        <f>'Vykazy HELIOS'!M29/1000</f>
        <v>5194.6034600000003</v>
      </c>
      <c r="S24" s="107">
        <f>'Vykazy HELIOS'!N29/1000</f>
        <v>3948.4809500000001</v>
      </c>
      <c r="T24" s="107">
        <f>'Vykazy HELIOS'!O29/1000</f>
        <v>3027.2265600000001</v>
      </c>
      <c r="U24" s="107">
        <f>'Vykazy HELIOS'!P29/1000</f>
        <v>3020.5747999999999</v>
      </c>
      <c r="V24" s="107">
        <f>'Vykazy HELIOS'!Q29/1000</f>
        <v>3159.6943900000001</v>
      </c>
      <c r="W24" s="107">
        <f>'Vykazy HELIOS'!R29/1000</f>
        <v>3970.5960700000001</v>
      </c>
      <c r="X24" s="107">
        <f>'Vykazy HELIOS'!S29/1000</f>
        <v>4861.1905099999994</v>
      </c>
      <c r="Y24" s="107">
        <f>'Vykazy HELIOS'!T29/1000</f>
        <v>4369.8117400000001</v>
      </c>
      <c r="Z24" s="107">
        <f>'Vykazy HELIOS'!U29/1000</f>
        <v>3366.77396</v>
      </c>
      <c r="AA24" s="3"/>
      <c r="AB24" s="3"/>
      <c r="AC24" s="3" t="s">
        <v>639</v>
      </c>
      <c r="AD24" s="3" t="s">
        <v>640</v>
      </c>
      <c r="AE24" s="3">
        <v>21</v>
      </c>
      <c r="AF24" s="3">
        <v>680890</v>
      </c>
      <c r="AG24">
        <v>1302280</v>
      </c>
      <c r="AH24" t="s">
        <v>641</v>
      </c>
    </row>
    <row r="25" spans="2:34" x14ac:dyDescent="0.2">
      <c r="B25" s="19" t="s">
        <v>20</v>
      </c>
      <c r="C25" s="18"/>
      <c r="D25" s="9" t="s">
        <v>172</v>
      </c>
      <c r="E25" s="10"/>
      <c r="F25" s="11"/>
      <c r="G25" s="11"/>
      <c r="H25" s="158">
        <v>22</v>
      </c>
      <c r="I25" s="28">
        <f t="shared" ref="I25:N25" si="43">I26+I27</f>
        <v>0</v>
      </c>
      <c r="J25" s="28">
        <f t="shared" si="43"/>
        <v>580</v>
      </c>
      <c r="K25" s="28">
        <f t="shared" si="43"/>
        <v>27.759599999999999</v>
      </c>
      <c r="L25" s="28">
        <f t="shared" si="43"/>
        <v>2928.9356699999998</v>
      </c>
      <c r="M25" s="28">
        <f t="shared" si="43"/>
        <v>5226.9734900000003</v>
      </c>
      <c r="N25" s="28">
        <f t="shared" si="43"/>
        <v>6124.0560999999998</v>
      </c>
      <c r="O25" s="28">
        <f t="shared" ref="O25:P25" si="44">O26+O27</f>
        <v>4670.6262699999997</v>
      </c>
      <c r="P25" s="28">
        <f t="shared" si="44"/>
        <v>7436.5752899999998</v>
      </c>
      <c r="Q25" s="28">
        <f t="shared" ref="Q25:R25" si="45">Q26+Q27</f>
        <v>6039.8358499999995</v>
      </c>
      <c r="R25" s="28">
        <f t="shared" si="45"/>
        <v>4908.9728099999993</v>
      </c>
      <c r="S25" s="28">
        <f t="shared" ref="S25:T25" si="46">S26+S27</f>
        <v>3484.4817799999996</v>
      </c>
      <c r="T25" s="28">
        <f t="shared" si="46"/>
        <v>2859.74296</v>
      </c>
      <c r="U25" s="28">
        <f t="shared" ref="U25:V25" si="47">U26+U27</f>
        <v>2897.8785400000002</v>
      </c>
      <c r="V25" s="28">
        <f t="shared" si="47"/>
        <v>3628.9375099999997</v>
      </c>
      <c r="W25" s="28">
        <f t="shared" ref="W25:X25" si="48">W26+W27</f>
        <v>4036.7591699999998</v>
      </c>
      <c r="X25" s="28">
        <f t="shared" si="48"/>
        <v>4748.3811799999994</v>
      </c>
      <c r="Y25" s="28">
        <f t="shared" ref="Y25:Z25" si="49">Y26+Y27</f>
        <v>4242.5534699999998</v>
      </c>
      <c r="Z25" s="28">
        <f t="shared" si="49"/>
        <v>2975.6715800000002</v>
      </c>
      <c r="AA25" s="3"/>
      <c r="AB25" s="3"/>
      <c r="AC25" s="3" t="s">
        <v>642</v>
      </c>
      <c r="AD25" s="3" t="s">
        <v>643</v>
      </c>
      <c r="AE25" s="3">
        <v>22</v>
      </c>
      <c r="AF25" s="3">
        <v>4369811.74</v>
      </c>
      <c r="AG25">
        <v>4861190.51</v>
      </c>
      <c r="AH25" t="s">
        <v>644</v>
      </c>
    </row>
    <row r="26" spans="2:34" x14ac:dyDescent="0.2">
      <c r="B26" s="31" t="s">
        <v>20</v>
      </c>
      <c r="C26" s="103">
        <v>1</v>
      </c>
      <c r="D26" s="32" t="s">
        <v>278</v>
      </c>
      <c r="E26" s="33"/>
      <c r="F26" s="34"/>
      <c r="G26" s="34"/>
      <c r="H26" s="159">
        <v>23</v>
      </c>
      <c r="I26" s="35">
        <f>'Vykazy HELIOS'!D31/1000</f>
        <v>0</v>
      </c>
      <c r="J26" s="104">
        <f>'Vykazy HELIOS'!E31/1000</f>
        <v>446</v>
      </c>
      <c r="K26" s="104">
        <f>'Vykazy HELIOS'!F31/1000</f>
        <v>0</v>
      </c>
      <c r="L26" s="104">
        <f>'Vykazy HELIOS'!G31/1000</f>
        <v>0</v>
      </c>
      <c r="M26" s="104">
        <f>'Vykazy HELIOS'!H31/1000</f>
        <v>0.79189999999999994</v>
      </c>
      <c r="N26" s="104">
        <f>'Vykazy HELIOS'!I31/1000</f>
        <v>6.3520000000000003</v>
      </c>
      <c r="O26" s="104">
        <f>'Vykazy HELIOS'!J31/1000</f>
        <v>0</v>
      </c>
      <c r="P26" s="104">
        <f>'Vykazy HELIOS'!K31/1000</f>
        <v>0</v>
      </c>
      <c r="Q26" s="104">
        <f>'Vykazy HELIOS'!L31/1000</f>
        <v>0</v>
      </c>
      <c r="R26" s="104">
        <f>'Vykazy HELIOS'!M31/1000</f>
        <v>0</v>
      </c>
      <c r="S26" s="104">
        <f>'Vykazy HELIOS'!N31/1000</f>
        <v>0</v>
      </c>
      <c r="T26" s="104">
        <f>'Vykazy HELIOS'!O31/1000</f>
        <v>0</v>
      </c>
      <c r="U26" s="104">
        <f>'Vykazy HELIOS'!P31/1000</f>
        <v>0</v>
      </c>
      <c r="V26" s="104">
        <f>'Vykazy HELIOS'!Q31/1000</f>
        <v>580.096</v>
      </c>
      <c r="W26" s="104">
        <f>'Vykazy HELIOS'!R31/1000</f>
        <v>0</v>
      </c>
      <c r="X26" s="104">
        <f>'Vykazy HELIOS'!S31/1000</f>
        <v>0</v>
      </c>
      <c r="Y26" s="104">
        <f>'Vykazy HELIOS'!T31/1000</f>
        <v>0</v>
      </c>
      <c r="Z26" s="104">
        <f>'Vykazy HELIOS'!U31/1000</f>
        <v>0</v>
      </c>
      <c r="AA26" s="3"/>
      <c r="AB26" s="3"/>
      <c r="AC26" s="3" t="s">
        <v>645</v>
      </c>
      <c r="AD26" s="3" t="s">
        <v>646</v>
      </c>
      <c r="AE26" s="3">
        <v>23</v>
      </c>
      <c r="AF26" s="3">
        <v>2391800.08</v>
      </c>
      <c r="AG26">
        <v>2058153.46</v>
      </c>
      <c r="AH26" t="s">
        <v>638</v>
      </c>
    </row>
    <row r="27" spans="2:34" x14ac:dyDescent="0.2">
      <c r="B27" s="118"/>
      <c r="C27" s="105">
        <v>2</v>
      </c>
      <c r="D27" s="39" t="s">
        <v>173</v>
      </c>
      <c r="E27" s="40"/>
      <c r="F27" s="41"/>
      <c r="G27" s="41"/>
      <c r="H27" s="162">
        <v>24</v>
      </c>
      <c r="I27" s="106">
        <f>'Vykazy HELIOS'!D32/1000</f>
        <v>0</v>
      </c>
      <c r="J27" s="107">
        <f>'Vykazy HELIOS'!E32/1000</f>
        <v>134</v>
      </c>
      <c r="K27" s="107">
        <f>'Vykazy HELIOS'!F32/1000</f>
        <v>27.759599999999999</v>
      </c>
      <c r="L27" s="107">
        <f>'Vykazy HELIOS'!G32/1000</f>
        <v>2928.9356699999998</v>
      </c>
      <c r="M27" s="107">
        <f>'Vykazy HELIOS'!H32/1000</f>
        <v>5226.1815900000001</v>
      </c>
      <c r="N27" s="107">
        <f>'Vykazy HELIOS'!I32/1000</f>
        <v>6117.7040999999999</v>
      </c>
      <c r="O27" s="107">
        <f>'Vykazy HELIOS'!J32/1000</f>
        <v>4670.6262699999997</v>
      </c>
      <c r="P27" s="107">
        <f>'Vykazy HELIOS'!K32/1000</f>
        <v>7436.5752899999998</v>
      </c>
      <c r="Q27" s="107">
        <f>'Vykazy HELIOS'!L32/1000</f>
        <v>6039.8358499999995</v>
      </c>
      <c r="R27" s="107">
        <f>'Vykazy HELIOS'!M32/1000</f>
        <v>4908.9728099999993</v>
      </c>
      <c r="S27" s="107">
        <f>'Vykazy HELIOS'!N32/1000</f>
        <v>3484.4817799999996</v>
      </c>
      <c r="T27" s="107">
        <f>'Vykazy HELIOS'!O32/1000</f>
        <v>2859.74296</v>
      </c>
      <c r="U27" s="107">
        <f>'Vykazy HELIOS'!P32/1000</f>
        <v>2897.8785400000002</v>
      </c>
      <c r="V27" s="107">
        <f>'Vykazy HELIOS'!Q32/1000</f>
        <v>3048.8415099999997</v>
      </c>
      <c r="W27" s="107">
        <f>'Vykazy HELIOS'!R32/1000</f>
        <v>4036.7591699999998</v>
      </c>
      <c r="X27" s="107">
        <f>'Vykazy HELIOS'!S32/1000</f>
        <v>4748.3811799999994</v>
      </c>
      <c r="Y27" s="107">
        <f>'Vykazy HELIOS'!T32/1000</f>
        <v>4242.5534699999998</v>
      </c>
      <c r="Z27" s="107">
        <f>'Vykazy HELIOS'!U32/1000</f>
        <v>2975.6715800000002</v>
      </c>
      <c r="AA27" s="3"/>
      <c r="AB27" s="3"/>
      <c r="AC27" s="3" t="s">
        <v>20</v>
      </c>
      <c r="AD27" s="3" t="s">
        <v>159</v>
      </c>
      <c r="AE27" s="3">
        <v>24</v>
      </c>
      <c r="AF27" s="3">
        <v>29511234.350000001</v>
      </c>
      <c r="AG27">
        <v>33445265.550000001</v>
      </c>
      <c r="AH27" t="s">
        <v>647</v>
      </c>
    </row>
    <row r="28" spans="2:34" x14ac:dyDescent="0.2">
      <c r="B28" s="19" t="s">
        <v>22</v>
      </c>
      <c r="C28" s="18"/>
      <c r="D28" s="9" t="s">
        <v>214</v>
      </c>
      <c r="E28" s="10"/>
      <c r="F28" s="11"/>
      <c r="G28" s="11"/>
      <c r="H28" s="158">
        <v>25</v>
      </c>
      <c r="I28" s="30">
        <f>'Vykazy HELIOS'!D33/1000</f>
        <v>7622</v>
      </c>
      <c r="J28" s="26">
        <f>'Vykazy HELIOS'!E33/1000</f>
        <v>450</v>
      </c>
      <c r="K28" s="26">
        <f>'Vykazy HELIOS'!F33/1000</f>
        <v>-9464.9712600000003</v>
      </c>
      <c r="L28" s="26">
        <f>'Vykazy HELIOS'!G33/1000</f>
        <v>-4146.5897000000004</v>
      </c>
      <c r="M28" s="26">
        <f>'Vykazy HELIOS'!H33/1000</f>
        <v>378.30384999999995</v>
      </c>
      <c r="N28" s="26">
        <f>'Vykazy HELIOS'!I33/1000</f>
        <v>232.03673999999998</v>
      </c>
      <c r="O28" s="26">
        <f>'Vykazy HELIOS'!J33/1000</f>
        <v>-78.188649999999996</v>
      </c>
      <c r="P28" s="26">
        <f>'Vykazy HELIOS'!K33/1000</f>
        <v>-313.47264000000001</v>
      </c>
      <c r="Q28" s="26">
        <f>'Vykazy HELIOS'!L33/1000</f>
        <v>-186.45669000000001</v>
      </c>
      <c r="R28" s="26">
        <f>'Vykazy HELIOS'!M33/1000</f>
        <v>565.95916</v>
      </c>
      <c r="S28" s="26">
        <f>'Vykazy HELIOS'!N33/1000</f>
        <v>-423.18876</v>
      </c>
      <c r="T28" s="26">
        <f>'Vykazy HELIOS'!O33/1000</f>
        <v>54.74944</v>
      </c>
      <c r="U28" s="26">
        <f>'Vykazy HELIOS'!P33/1000</f>
        <v>-177.54767000000001</v>
      </c>
      <c r="V28" s="26">
        <f>'Vykazy HELIOS'!Q33/1000</f>
        <v>-384.50290999999999</v>
      </c>
      <c r="W28" s="26">
        <f>'Vykazy HELIOS'!R33/1000</f>
        <v>278.82366999999999</v>
      </c>
      <c r="X28" s="26">
        <f>'Vykazy HELIOS'!S33/1000</f>
        <v>-224.46731</v>
      </c>
      <c r="Y28" s="26">
        <f>'Vykazy HELIOS'!T33/1000</f>
        <v>-130.94699</v>
      </c>
      <c r="Z28" s="26">
        <f>'Vykazy HELIOS'!U33/1000</f>
        <v>0</v>
      </c>
      <c r="AA28" s="3"/>
      <c r="AB28" s="3"/>
      <c r="AC28" s="3" t="s">
        <v>648</v>
      </c>
      <c r="AD28" s="3" t="s">
        <v>278</v>
      </c>
      <c r="AE28" s="3">
        <v>25</v>
      </c>
      <c r="AF28" s="3">
        <v>0</v>
      </c>
      <c r="AG28">
        <v>0</v>
      </c>
      <c r="AH28" t="s">
        <v>649</v>
      </c>
    </row>
    <row r="29" spans="2:34" x14ac:dyDescent="0.2">
      <c r="B29" s="17" t="s">
        <v>21</v>
      </c>
      <c r="C29" s="18"/>
      <c r="D29" s="9" t="s">
        <v>160</v>
      </c>
      <c r="E29" s="10"/>
      <c r="F29" s="11"/>
      <c r="G29" s="11"/>
      <c r="H29" s="158">
        <v>26</v>
      </c>
      <c r="I29" s="30">
        <f>'Vykazy HELIOS'!D34/1000</f>
        <v>615</v>
      </c>
      <c r="J29" s="26">
        <f>'Vykazy HELIOS'!E34/1000</f>
        <v>1312</v>
      </c>
      <c r="K29" s="26">
        <f>'Vykazy HELIOS'!F34/1000</f>
        <v>1203.021</v>
      </c>
      <c r="L29" s="26">
        <f>'Vykazy HELIOS'!G34/1000</f>
        <v>1057.7910900000002</v>
      </c>
      <c r="M29" s="26">
        <f>'Vykazy HELIOS'!H34/1000</f>
        <v>2762.5733100000002</v>
      </c>
      <c r="N29" s="26">
        <f>'Vykazy HELIOS'!I34/1000</f>
        <v>2367.4183499999999</v>
      </c>
      <c r="O29" s="26">
        <f>'Vykazy HELIOS'!J34/1000</f>
        <v>827.50621000000001</v>
      </c>
      <c r="P29" s="26">
        <f>'Vykazy HELIOS'!K34/1000</f>
        <v>507.49096999999995</v>
      </c>
      <c r="Q29" s="26">
        <f>'Vykazy HELIOS'!L34/1000</f>
        <v>1398.5078799999999</v>
      </c>
      <c r="R29" s="26">
        <f>'Vykazy HELIOS'!M34/1000</f>
        <v>2324.3317599999996</v>
      </c>
      <c r="S29" s="26">
        <f>'Vykazy HELIOS'!N34/1000</f>
        <v>922.6394499999999</v>
      </c>
      <c r="T29" s="26">
        <f>'Vykazy HELIOS'!O34/1000</f>
        <v>921.77754000000004</v>
      </c>
      <c r="U29" s="26">
        <f>'Vykazy HELIOS'!P34/1000</f>
        <v>967.28998999999999</v>
      </c>
      <c r="V29" s="26">
        <f>'Vykazy HELIOS'!Q34/1000</f>
        <v>689.03620000000001</v>
      </c>
      <c r="W29" s="26">
        <f>'Vykazy HELIOS'!R34/1000</f>
        <v>2917.59222</v>
      </c>
      <c r="X29" s="26">
        <f>'Vykazy HELIOS'!S34/1000</f>
        <v>2058.1534499999998</v>
      </c>
      <c r="Y29" s="26">
        <f>'Vykazy HELIOS'!T34/1000</f>
        <v>5631.7652199999993</v>
      </c>
      <c r="Z29" s="26">
        <f>'Vykazy HELIOS'!U34/1000</f>
        <v>1483.68932</v>
      </c>
      <c r="AA29" s="3"/>
      <c r="AB29" s="3"/>
      <c r="AC29" s="3" t="s">
        <v>650</v>
      </c>
      <c r="AD29" s="3" t="s">
        <v>361</v>
      </c>
      <c r="AE29" s="3">
        <v>26</v>
      </c>
      <c r="AF29" s="3">
        <v>4222737.45</v>
      </c>
      <c r="AG29">
        <v>4748381.18</v>
      </c>
      <c r="AH29" t="s">
        <v>651</v>
      </c>
    </row>
    <row r="30" spans="2:34" x14ac:dyDescent="0.2">
      <c r="B30" s="19" t="s">
        <v>23</v>
      </c>
      <c r="C30" s="18"/>
      <c r="D30" s="9" t="s">
        <v>159</v>
      </c>
      <c r="E30" s="10"/>
      <c r="F30" s="11"/>
      <c r="G30" s="11"/>
      <c r="H30" s="158">
        <v>27</v>
      </c>
      <c r="I30" s="30">
        <f>'Vykazy HELIOS'!D35/1000</f>
        <v>1151</v>
      </c>
      <c r="J30" s="26">
        <f>'Vykazy HELIOS'!E35/1000</f>
        <v>1525</v>
      </c>
      <c r="K30" s="26">
        <f>'Vykazy HELIOS'!F35/1000</f>
        <v>2426.1405</v>
      </c>
      <c r="L30" s="26">
        <f>'Vykazy HELIOS'!G35/1000</f>
        <v>2337.0023700000002</v>
      </c>
      <c r="M30" s="26">
        <f>'Vykazy HELIOS'!H35/1000</f>
        <v>5878.1935199999998</v>
      </c>
      <c r="N30" s="26">
        <f>'Vykazy HELIOS'!I35/1000</f>
        <v>3615.4883500000001</v>
      </c>
      <c r="O30" s="26">
        <f>'Vykazy HELIOS'!J35/1000</f>
        <v>3816.66534</v>
      </c>
      <c r="P30" s="26">
        <f>'Vykazy HELIOS'!K35/1000</f>
        <v>3979.3544500000003</v>
      </c>
      <c r="Q30" s="26">
        <f>'Vykazy HELIOS'!L35/1000</f>
        <v>4705.6938499999997</v>
      </c>
      <c r="R30" s="26">
        <f>'Vykazy HELIOS'!M35/1000</f>
        <v>4785.0371500000001</v>
      </c>
      <c r="S30" s="26">
        <f>'Vykazy HELIOS'!N35/1000</f>
        <v>4806.8226399999994</v>
      </c>
      <c r="T30" s="26">
        <f>'Vykazy HELIOS'!O35/1000</f>
        <v>4212.5914899999998</v>
      </c>
      <c r="U30" s="26">
        <f>'Vykazy HELIOS'!P35/1000</f>
        <v>4669.2120300000006</v>
      </c>
      <c r="V30" s="26">
        <f>'Vykazy HELIOS'!Q35/1000</f>
        <v>4382.9896100000005</v>
      </c>
      <c r="W30" s="26">
        <f>'Vykazy HELIOS'!R35/1000</f>
        <v>3978.7191400000002</v>
      </c>
      <c r="X30" s="26">
        <f>'Vykazy HELIOS'!S35/1000</f>
        <v>4726.1672400000007</v>
      </c>
      <c r="Y30" s="26">
        <f>'Vykazy HELIOS'!T35/1000</f>
        <v>4955.6352300000008</v>
      </c>
      <c r="Z30" s="26">
        <f>'Vykazy HELIOS'!U35/1000</f>
        <v>4098.3277200000002</v>
      </c>
      <c r="AC30" t="s">
        <v>652</v>
      </c>
      <c r="AD30" t="s">
        <v>17</v>
      </c>
      <c r="AE30">
        <v>27</v>
      </c>
      <c r="AF30">
        <v>20350919.370000001</v>
      </c>
      <c r="AG30">
        <v>23961191.93</v>
      </c>
      <c r="AH30" t="s">
        <v>653</v>
      </c>
    </row>
    <row r="31" spans="2:34" x14ac:dyDescent="0.2">
      <c r="B31" s="17" t="s">
        <v>272</v>
      </c>
      <c r="C31" s="18"/>
      <c r="D31" s="9" t="s">
        <v>273</v>
      </c>
      <c r="E31" s="10"/>
      <c r="F31" s="11"/>
      <c r="G31" s="11"/>
      <c r="H31" s="158">
        <v>28</v>
      </c>
      <c r="I31" s="30">
        <f>'Vykazy HELIOS'!D36/1000</f>
        <v>0</v>
      </c>
      <c r="J31" s="30">
        <f>'Vykazy HELIOS'!E36/1000</f>
        <v>0</v>
      </c>
      <c r="K31" s="30">
        <f>'Vykazy HELIOS'!F36/1000</f>
        <v>0</v>
      </c>
      <c r="L31" s="30">
        <f>'Vykazy HELIOS'!G36/1000</f>
        <v>0</v>
      </c>
      <c r="M31" s="30">
        <f>'Vykazy HELIOS'!H36/1000</f>
        <v>0</v>
      </c>
      <c r="N31" s="30">
        <f>'Vykazy HELIOS'!I36/1000</f>
        <v>0</v>
      </c>
      <c r="O31" s="30">
        <f>'Vykazy HELIOS'!J36/1000</f>
        <v>0</v>
      </c>
      <c r="P31" s="30">
        <f>'Vykazy HELIOS'!K36/1000</f>
        <v>0</v>
      </c>
      <c r="Q31" s="30">
        <f>'Vykazy HELIOS'!L36/1000</f>
        <v>0</v>
      </c>
      <c r="R31" s="30">
        <f>'Vykazy HELIOS'!M36/1000</f>
        <v>0</v>
      </c>
      <c r="S31" s="30">
        <f>'Vykazy HELIOS'!N36/1000</f>
        <v>0</v>
      </c>
      <c r="T31" s="30">
        <f>'Vykazy HELIOS'!O36/1000</f>
        <v>0</v>
      </c>
      <c r="U31" s="30">
        <f>'Vykazy HELIOS'!P36/1000</f>
        <v>0</v>
      </c>
      <c r="V31" s="30">
        <f>'Vykazy HELIOS'!Q36/1000</f>
        <v>0</v>
      </c>
      <c r="W31" s="30">
        <f>'Vykazy HELIOS'!R36/1000</f>
        <v>0</v>
      </c>
      <c r="X31" s="30">
        <f>'Vykazy HELIOS'!S36/1000</f>
        <v>0</v>
      </c>
      <c r="Y31" s="30">
        <f>'Vykazy HELIOS'!T36/1000</f>
        <v>0</v>
      </c>
      <c r="Z31" s="30">
        <f>'Vykazy HELIOS'!U36/1000</f>
        <v>0</v>
      </c>
      <c r="AC31" t="s">
        <v>654</v>
      </c>
      <c r="AD31" t="s">
        <v>655</v>
      </c>
      <c r="AE31">
        <v>28</v>
      </c>
      <c r="AF31">
        <v>0</v>
      </c>
      <c r="AG31">
        <v>9525.19</v>
      </c>
      <c r="AH31" t="s">
        <v>656</v>
      </c>
    </row>
    <row r="32" spans="2:34" x14ac:dyDescent="0.2">
      <c r="B32" s="19" t="s">
        <v>0</v>
      </c>
      <c r="C32" s="18"/>
      <c r="D32" s="9" t="s">
        <v>274</v>
      </c>
      <c r="E32" s="10"/>
      <c r="F32" s="11"/>
      <c r="G32" s="11"/>
      <c r="H32" s="158">
        <v>29</v>
      </c>
      <c r="I32" s="30">
        <f>'Vykazy HELIOS'!D37/1000</f>
        <v>0</v>
      </c>
      <c r="J32" s="30">
        <f>'Vykazy HELIOS'!E37/1000</f>
        <v>0</v>
      </c>
      <c r="K32" s="30">
        <f>'Vykazy HELIOS'!F37/1000</f>
        <v>0</v>
      </c>
      <c r="L32" s="30">
        <f>'Vykazy HELIOS'!G37/1000</f>
        <v>0</v>
      </c>
      <c r="M32" s="30">
        <f>'Vykazy HELIOS'!H37/1000</f>
        <v>0</v>
      </c>
      <c r="N32" s="30">
        <f>'Vykazy HELIOS'!I37/1000</f>
        <v>0</v>
      </c>
      <c r="O32" s="30">
        <f>'Vykazy HELIOS'!J37/1000</f>
        <v>0</v>
      </c>
      <c r="P32" s="30">
        <f>'Vykazy HELIOS'!K37/1000</f>
        <v>0</v>
      </c>
      <c r="Q32" s="30">
        <f>'Vykazy HELIOS'!L37/1000</f>
        <v>0</v>
      </c>
      <c r="R32" s="30">
        <f>'Vykazy HELIOS'!M37/1000</f>
        <v>0</v>
      </c>
      <c r="S32" s="30">
        <f>'Vykazy HELIOS'!N37/1000</f>
        <v>0</v>
      </c>
      <c r="T32" s="30">
        <f>'Vykazy HELIOS'!O37/1000</f>
        <v>0</v>
      </c>
      <c r="U32" s="30">
        <f>'Vykazy HELIOS'!P37/1000</f>
        <v>0</v>
      </c>
      <c r="V32" s="30">
        <f>'Vykazy HELIOS'!Q37/1000</f>
        <v>0</v>
      </c>
      <c r="W32" s="30">
        <f>'Vykazy HELIOS'!R37/1000</f>
        <v>0</v>
      </c>
      <c r="X32" s="30">
        <f>'Vykazy HELIOS'!S37/1000</f>
        <v>0</v>
      </c>
      <c r="Y32" s="30">
        <f>'Vykazy HELIOS'!T37/1000</f>
        <v>0</v>
      </c>
      <c r="Z32" s="30">
        <f>'Vykazy HELIOS'!U37/1000</f>
        <v>0</v>
      </c>
      <c r="AC32" t="s">
        <v>657</v>
      </c>
      <c r="AD32" t="s">
        <v>658</v>
      </c>
      <c r="AE32">
        <v>29</v>
      </c>
      <c r="AF32">
        <v>4937577.53</v>
      </c>
      <c r="AG32">
        <v>4726167.25</v>
      </c>
      <c r="AH32" t="s">
        <v>647</v>
      </c>
    </row>
    <row r="33" spans="2:34" x14ac:dyDescent="0.2">
      <c r="B33" s="21" t="s">
        <v>4</v>
      </c>
      <c r="C33" s="22"/>
      <c r="D33" s="12" t="s">
        <v>209</v>
      </c>
      <c r="E33" s="13"/>
      <c r="F33" s="14"/>
      <c r="G33" s="14"/>
      <c r="H33" s="161">
        <v>30</v>
      </c>
      <c r="I33" s="29">
        <f t="shared" ref="I33:N33" si="50">I14-I15-I20-I21+I22-I25-I28+I29-I30+I31-I32</f>
        <v>588</v>
      </c>
      <c r="J33" s="29">
        <f t="shared" si="50"/>
        <v>10799</v>
      </c>
      <c r="K33" s="29">
        <f>K14-K15-K20-K21+K22-K25-K28+K29-K30+K31-K32</f>
        <v>14843.878549999992</v>
      </c>
      <c r="L33" s="29">
        <f t="shared" si="50"/>
        <v>2373.5681700000014</v>
      </c>
      <c r="M33" s="29">
        <f t="shared" si="50"/>
        <v>12882.522719999983</v>
      </c>
      <c r="N33" s="29">
        <f t="shared" si="50"/>
        <v>6704.6256699999522</v>
      </c>
      <c r="O33" s="29">
        <f t="shared" ref="O33:P33" si="51">O14-O15-O20-O21+O22-O25-O28+O29-O30+O31-O32</f>
        <v>19633.112739999942</v>
      </c>
      <c r="P33" s="29">
        <f t="shared" si="51"/>
        <v>25670.98935000004</v>
      </c>
      <c r="Q33" s="29">
        <f t="shared" ref="Q33:R33" si="52">Q14-Q15-Q20-Q21+Q22-Q25-Q28+Q29-Q30+Q31-Q32</f>
        <v>35980.43383999994</v>
      </c>
      <c r="R33" s="29">
        <f t="shared" si="52"/>
        <v>15091.864479999942</v>
      </c>
      <c r="S33" s="29">
        <f t="shared" ref="S33:T33" si="53">S14-S15-S20-S21+S22-S25-S28+S29-S30+S31-S32</f>
        <v>7561.3615199999886</v>
      </c>
      <c r="T33" s="29">
        <f t="shared" si="53"/>
        <v>18317.057949999977</v>
      </c>
      <c r="U33" s="29">
        <f t="shared" ref="U33:V33" si="54">U14-U15-U20-U21+U22-U25-U28+U29-U30+U31-U32</f>
        <v>22556.758780000069</v>
      </c>
      <c r="V33" s="29">
        <f t="shared" si="54"/>
        <v>-1158.3997500000301</v>
      </c>
      <c r="W33" s="29">
        <f t="shared" ref="W33:X33" si="55">W14-W15-W20-W21+W22-W25-W28+W29-W30+W31-W32</f>
        <v>50.348630000005869</v>
      </c>
      <c r="X33" s="29">
        <f t="shared" si="55"/>
        <v>1299.2887499999861</v>
      </c>
      <c r="Y33" s="29">
        <f t="shared" ref="Y33:Z33" si="56">Y14-Y15-Y20-Y21+Y22-Y25-Y28+Y29-Y30+Y31-Y32</f>
        <v>4838.4018200000019</v>
      </c>
      <c r="Z33" s="29">
        <f t="shared" si="56"/>
        <v>17070.23696999998</v>
      </c>
      <c r="AC33" t="s">
        <v>363</v>
      </c>
      <c r="AD33" t="s">
        <v>659</v>
      </c>
      <c r="AE33">
        <v>30</v>
      </c>
      <c r="AF33">
        <v>40897003.609999999</v>
      </c>
      <c r="AG33">
        <v>1371706.75</v>
      </c>
      <c r="AH33" t="s">
        <v>660</v>
      </c>
    </row>
    <row r="34" spans="2:34" x14ac:dyDescent="0.2">
      <c r="B34" s="17" t="s">
        <v>24</v>
      </c>
      <c r="C34" s="18"/>
      <c r="D34" s="9" t="s">
        <v>174</v>
      </c>
      <c r="E34" s="10"/>
      <c r="F34" s="11"/>
      <c r="G34" s="11"/>
      <c r="H34" s="158">
        <v>31</v>
      </c>
      <c r="I34" s="30">
        <f>'Vykazy HELIOS'!D39/1000</f>
        <v>0</v>
      </c>
      <c r="J34" s="26">
        <f>'Vykazy HELIOS'!E39/1000</f>
        <v>0</v>
      </c>
      <c r="K34" s="26">
        <f>'Vykazy HELIOS'!F39/1000</f>
        <v>0</v>
      </c>
      <c r="L34" s="26">
        <f>'Vykazy HELIOS'!G39/1000</f>
        <v>0</v>
      </c>
      <c r="M34" s="26">
        <f>'Vykazy HELIOS'!H39/1000</f>
        <v>0</v>
      </c>
      <c r="N34" s="26">
        <f>'Vykazy HELIOS'!I39/1000</f>
        <v>0</v>
      </c>
      <c r="O34" s="26">
        <f>'Vykazy HELIOS'!J39/1000</f>
        <v>0</v>
      </c>
      <c r="P34" s="26">
        <f>'Vykazy HELIOS'!K39/1000</f>
        <v>0</v>
      </c>
      <c r="Q34" s="26">
        <f>'Vykazy HELIOS'!L39/1000</f>
        <v>0</v>
      </c>
      <c r="R34" s="26">
        <f>'Vykazy HELIOS'!M39/1000</f>
        <v>0</v>
      </c>
      <c r="S34" s="26">
        <f>'Vykazy HELIOS'!N39/1000</f>
        <v>0</v>
      </c>
      <c r="T34" s="26">
        <f>'Vykazy HELIOS'!O39/1000</f>
        <v>0</v>
      </c>
      <c r="U34" s="26">
        <f>'Vykazy HELIOS'!P39/1000</f>
        <v>0</v>
      </c>
      <c r="V34" s="26">
        <f>'Vykazy HELIOS'!Q39/1000</f>
        <v>0</v>
      </c>
      <c r="W34" s="26">
        <f>'Vykazy HELIOS'!R39/1000</f>
        <v>0</v>
      </c>
      <c r="X34" s="26">
        <f>'Vykazy HELIOS'!S39/1000</f>
        <v>0</v>
      </c>
      <c r="Y34" s="26">
        <f>'Vykazy HELIOS'!T39/1000</f>
        <v>0</v>
      </c>
      <c r="Z34" s="26">
        <f>'Vykazy HELIOS'!U39/1000</f>
        <v>0</v>
      </c>
      <c r="AC34" t="s">
        <v>21</v>
      </c>
      <c r="AD34" t="s">
        <v>661</v>
      </c>
      <c r="AE34">
        <v>31</v>
      </c>
      <c r="AF34">
        <v>0</v>
      </c>
      <c r="AG34">
        <v>0</v>
      </c>
      <c r="AH34" t="s">
        <v>662</v>
      </c>
    </row>
    <row r="35" spans="2:34" x14ac:dyDescent="0.2">
      <c r="B35" s="19" t="s">
        <v>26</v>
      </c>
      <c r="C35" s="18"/>
      <c r="D35" s="9" t="s">
        <v>175</v>
      </c>
      <c r="E35" s="10"/>
      <c r="F35" s="11"/>
      <c r="G35" s="11"/>
      <c r="H35" s="158">
        <v>32</v>
      </c>
      <c r="I35" s="30">
        <f>'Vykazy HELIOS'!D40/1000</f>
        <v>0</v>
      </c>
      <c r="J35" s="26">
        <f>'Vykazy HELIOS'!E40/1000</f>
        <v>0</v>
      </c>
      <c r="K35" s="26">
        <f>'Vykazy HELIOS'!F40/1000</f>
        <v>0</v>
      </c>
      <c r="L35" s="26">
        <f>'Vykazy HELIOS'!G40/1000</f>
        <v>0</v>
      </c>
      <c r="M35" s="26">
        <f>'Vykazy HELIOS'!H40/1000</f>
        <v>0</v>
      </c>
      <c r="N35" s="26">
        <f>'Vykazy HELIOS'!I40/1000</f>
        <v>0</v>
      </c>
      <c r="O35" s="26">
        <f>'Vykazy HELIOS'!J40/1000</f>
        <v>0</v>
      </c>
      <c r="P35" s="26">
        <f>'Vykazy HELIOS'!K40/1000</f>
        <v>0</v>
      </c>
      <c r="Q35" s="26">
        <f>'Vykazy HELIOS'!L40/1000</f>
        <v>0</v>
      </c>
      <c r="R35" s="26">
        <f>'Vykazy HELIOS'!M40/1000</f>
        <v>0</v>
      </c>
      <c r="S35" s="26">
        <f>'Vykazy HELIOS'!N40/1000</f>
        <v>0</v>
      </c>
      <c r="T35" s="26">
        <f>'Vykazy HELIOS'!O40/1000</f>
        <v>0</v>
      </c>
      <c r="U35" s="26">
        <f>'Vykazy HELIOS'!P40/1000</f>
        <v>0</v>
      </c>
      <c r="V35" s="26">
        <f>'Vykazy HELIOS'!Q40/1000</f>
        <v>0</v>
      </c>
      <c r="W35" s="26">
        <f>'Vykazy HELIOS'!R40/1000</f>
        <v>0</v>
      </c>
      <c r="X35" s="26">
        <f>'Vykazy HELIOS'!S40/1000</f>
        <v>0</v>
      </c>
      <c r="Y35" s="26">
        <f>'Vykazy HELIOS'!T40/1000</f>
        <v>0</v>
      </c>
      <c r="Z35" s="26">
        <f>'Vykazy HELIOS'!U40/1000</f>
        <v>0</v>
      </c>
      <c r="AC35" t="s">
        <v>663</v>
      </c>
      <c r="AD35" t="s">
        <v>664</v>
      </c>
      <c r="AE35">
        <v>32</v>
      </c>
      <c r="AF35">
        <v>0</v>
      </c>
      <c r="AG35">
        <v>0</v>
      </c>
      <c r="AH35" t="s">
        <v>665</v>
      </c>
    </row>
    <row r="36" spans="2:34" x14ac:dyDescent="0.2">
      <c r="B36" s="17" t="s">
        <v>25</v>
      </c>
      <c r="C36" s="18"/>
      <c r="D36" s="9" t="s">
        <v>162</v>
      </c>
      <c r="E36" s="10"/>
      <c r="F36" s="11"/>
      <c r="G36" s="11"/>
      <c r="H36" s="158">
        <v>33</v>
      </c>
      <c r="I36" s="30">
        <f>'Vykazy HELIOS'!D41/1000</f>
        <v>0</v>
      </c>
      <c r="J36" s="26">
        <f>'Vykazy HELIOS'!E41/1000</f>
        <v>0</v>
      </c>
      <c r="K36" s="26">
        <f>'Vykazy HELIOS'!F41/1000</f>
        <v>0</v>
      </c>
      <c r="L36" s="26">
        <f>'Vykazy HELIOS'!G41/1000</f>
        <v>0</v>
      </c>
      <c r="M36" s="26">
        <f>'Vykazy HELIOS'!H41/1000</f>
        <v>0</v>
      </c>
      <c r="N36" s="26">
        <f>'Vykazy HELIOS'!I41/1000</f>
        <v>0</v>
      </c>
      <c r="O36" s="26">
        <f>'Vykazy HELIOS'!J41/1000</f>
        <v>0</v>
      </c>
      <c r="P36" s="26">
        <f>'Vykazy HELIOS'!K41/1000</f>
        <v>0</v>
      </c>
      <c r="Q36" s="26">
        <f>'Vykazy HELIOS'!L41/1000</f>
        <v>0</v>
      </c>
      <c r="R36" s="26">
        <f>'Vykazy HELIOS'!M41/1000</f>
        <v>0</v>
      </c>
      <c r="S36" s="26">
        <f>'Vykazy HELIOS'!N41/1000</f>
        <v>0</v>
      </c>
      <c r="T36" s="26">
        <f>'Vykazy HELIOS'!O41/1000</f>
        <v>0</v>
      </c>
      <c r="U36" s="26">
        <f>'Vykazy HELIOS'!P41/1000</f>
        <v>0</v>
      </c>
      <c r="V36" s="26">
        <f>'Vykazy HELIOS'!Q41/1000</f>
        <v>0</v>
      </c>
      <c r="W36" s="26">
        <f>'Vykazy HELIOS'!R41/1000</f>
        <v>0</v>
      </c>
      <c r="X36" s="26">
        <f>'Vykazy HELIOS'!S41/1000</f>
        <v>0</v>
      </c>
      <c r="Y36" s="26">
        <f>'Vykazy HELIOS'!T41/1000</f>
        <v>0</v>
      </c>
      <c r="Z36" s="26">
        <f>'Vykazy HELIOS'!U41/1000</f>
        <v>0</v>
      </c>
      <c r="AC36" t="s">
        <v>666</v>
      </c>
      <c r="AD36" t="s">
        <v>667</v>
      </c>
      <c r="AE36">
        <v>33</v>
      </c>
      <c r="AF36">
        <v>0</v>
      </c>
      <c r="AG36">
        <v>0</v>
      </c>
      <c r="AH36" t="s">
        <v>668</v>
      </c>
    </row>
    <row r="37" spans="2:34" x14ac:dyDescent="0.2">
      <c r="B37" s="17"/>
      <c r="C37" s="153" t="s">
        <v>364</v>
      </c>
      <c r="D37" s="9" t="s">
        <v>365</v>
      </c>
      <c r="E37" s="10"/>
      <c r="F37" s="11"/>
      <c r="G37" s="11"/>
      <c r="H37" s="158">
        <v>34</v>
      </c>
      <c r="I37" s="30">
        <f>'Vykazy HELIOS'!D42/1000</f>
        <v>0</v>
      </c>
      <c r="J37" s="26">
        <f>'Vykazy HELIOS'!E42/1000</f>
        <v>0</v>
      </c>
      <c r="K37" s="26">
        <f>'Vykazy HELIOS'!F42/1000</f>
        <v>0</v>
      </c>
      <c r="L37" s="26">
        <f>'Vykazy HELIOS'!G42/1000</f>
        <v>0</v>
      </c>
      <c r="M37" s="26">
        <f>'Vykazy HELIOS'!H42/1000</f>
        <v>0</v>
      </c>
      <c r="N37" s="26">
        <f>'Vykazy HELIOS'!I42/1000</f>
        <v>0</v>
      </c>
      <c r="O37" s="26">
        <f>'Vykazy HELIOS'!J42/1000</f>
        <v>0</v>
      </c>
      <c r="P37" s="26">
        <f>'Vykazy HELIOS'!K42/1000</f>
        <v>0</v>
      </c>
      <c r="Q37" s="26">
        <f>'Vykazy HELIOS'!L42/1000</f>
        <v>0</v>
      </c>
      <c r="R37" s="26">
        <f>'Vykazy HELIOS'!M42/1000</f>
        <v>0</v>
      </c>
      <c r="S37" s="26">
        <f>'Vykazy HELIOS'!N42/1000</f>
        <v>0</v>
      </c>
      <c r="T37" s="26">
        <f>'Vykazy HELIOS'!O42/1000</f>
        <v>0</v>
      </c>
      <c r="U37" s="26">
        <f>'Vykazy HELIOS'!P42/1000</f>
        <v>0</v>
      </c>
      <c r="V37" s="26">
        <f>'Vykazy HELIOS'!Q42/1000</f>
        <v>0</v>
      </c>
      <c r="W37" s="26">
        <f>'Vykazy HELIOS'!R42/1000</f>
        <v>0</v>
      </c>
      <c r="X37" s="26">
        <f>'Vykazy HELIOS'!S42/1000</f>
        <v>0</v>
      </c>
      <c r="Y37" s="26">
        <f>'Vykazy HELIOS'!T42/1000</f>
        <v>0</v>
      </c>
      <c r="Z37" s="26">
        <f>'Vykazy HELIOS'!U42/1000</f>
        <v>0</v>
      </c>
      <c r="AC37" t="s">
        <v>22</v>
      </c>
      <c r="AD37" t="s">
        <v>669</v>
      </c>
      <c r="AE37">
        <v>34</v>
      </c>
      <c r="AF37">
        <v>0</v>
      </c>
      <c r="AG37">
        <v>0</v>
      </c>
      <c r="AH37" t="s">
        <v>670</v>
      </c>
    </row>
    <row r="38" spans="2:34" x14ac:dyDescent="0.2">
      <c r="B38" s="17"/>
      <c r="C38" s="153" t="s">
        <v>51</v>
      </c>
      <c r="D38" s="9" t="s">
        <v>366</v>
      </c>
      <c r="E38" s="10"/>
      <c r="F38" s="11"/>
      <c r="G38" s="11"/>
      <c r="H38" s="158">
        <v>35</v>
      </c>
      <c r="I38" s="30">
        <f>'Vykazy HELIOS'!D43/1000</f>
        <v>0</v>
      </c>
      <c r="J38" s="26">
        <f>'Vykazy HELIOS'!E43/1000</f>
        <v>0</v>
      </c>
      <c r="K38" s="26">
        <f>'Vykazy HELIOS'!F43/1000</f>
        <v>0</v>
      </c>
      <c r="L38" s="26">
        <f>'Vykazy HELIOS'!G43/1000</f>
        <v>0</v>
      </c>
      <c r="M38" s="26">
        <f>'Vykazy HELIOS'!H43/1000</f>
        <v>0</v>
      </c>
      <c r="N38" s="26">
        <f>'Vykazy HELIOS'!I43/1000</f>
        <v>0</v>
      </c>
      <c r="O38" s="26">
        <f>'Vykazy HELIOS'!J43/1000</f>
        <v>0</v>
      </c>
      <c r="P38" s="26">
        <f>'Vykazy HELIOS'!K43/1000</f>
        <v>0</v>
      </c>
      <c r="Q38" s="26">
        <f>'Vykazy HELIOS'!L43/1000</f>
        <v>0</v>
      </c>
      <c r="R38" s="26">
        <f>'Vykazy HELIOS'!M43/1000</f>
        <v>0</v>
      </c>
      <c r="S38" s="26">
        <f>'Vykazy HELIOS'!N43/1000</f>
        <v>0</v>
      </c>
      <c r="T38" s="26">
        <f>'Vykazy HELIOS'!O43/1000</f>
        <v>0</v>
      </c>
      <c r="U38" s="26">
        <f>'Vykazy HELIOS'!P43/1000</f>
        <v>0</v>
      </c>
      <c r="V38" s="26">
        <f>'Vykazy HELIOS'!Q43/1000</f>
        <v>0</v>
      </c>
      <c r="W38" s="26">
        <f>'Vykazy HELIOS'!R43/1000</f>
        <v>0</v>
      </c>
      <c r="X38" s="26">
        <f>'Vykazy HELIOS'!S43/1000</f>
        <v>0</v>
      </c>
      <c r="Y38" s="26">
        <f>'Vykazy HELIOS'!T43/1000</f>
        <v>0</v>
      </c>
      <c r="Z38" s="26">
        <f>'Vykazy HELIOS'!U43/1000</f>
        <v>0</v>
      </c>
      <c r="AC38" t="s">
        <v>272</v>
      </c>
      <c r="AD38" t="s">
        <v>367</v>
      </c>
      <c r="AE38">
        <v>35</v>
      </c>
      <c r="AF38">
        <v>0</v>
      </c>
      <c r="AG38">
        <v>0</v>
      </c>
      <c r="AH38" t="s">
        <v>671</v>
      </c>
    </row>
    <row r="39" spans="2:34" x14ac:dyDescent="0.2">
      <c r="B39" s="17"/>
      <c r="C39" s="153" t="s">
        <v>52</v>
      </c>
      <c r="D39" s="9" t="s">
        <v>367</v>
      </c>
      <c r="E39" s="10"/>
      <c r="F39" s="11"/>
      <c r="G39" s="11"/>
      <c r="H39" s="158">
        <v>36</v>
      </c>
      <c r="I39" s="30">
        <f>'Vykazy HELIOS'!D44/1000</f>
        <v>0</v>
      </c>
      <c r="J39" s="26">
        <f>'Vykazy HELIOS'!E44/1000</f>
        <v>0</v>
      </c>
      <c r="K39" s="26">
        <f>'Vykazy HELIOS'!F44/1000</f>
        <v>0</v>
      </c>
      <c r="L39" s="26">
        <f>'Vykazy HELIOS'!G44/1000</f>
        <v>0</v>
      </c>
      <c r="M39" s="26">
        <f>'Vykazy HELIOS'!H44/1000</f>
        <v>0</v>
      </c>
      <c r="N39" s="26">
        <f>'Vykazy HELIOS'!I44/1000</f>
        <v>0</v>
      </c>
      <c r="O39" s="26">
        <f>'Vykazy HELIOS'!J44/1000</f>
        <v>0</v>
      </c>
      <c r="P39" s="26">
        <f>'Vykazy HELIOS'!K44/1000</f>
        <v>0</v>
      </c>
      <c r="Q39" s="26">
        <f>'Vykazy HELIOS'!L44/1000</f>
        <v>0</v>
      </c>
      <c r="R39" s="26">
        <f>'Vykazy HELIOS'!M44/1000</f>
        <v>0</v>
      </c>
      <c r="S39" s="26">
        <f>'Vykazy HELIOS'!N44/1000</f>
        <v>0</v>
      </c>
      <c r="T39" s="26">
        <f>'Vykazy HELIOS'!O44/1000</f>
        <v>0</v>
      </c>
      <c r="U39" s="26">
        <f>'Vykazy HELIOS'!P44/1000</f>
        <v>0</v>
      </c>
      <c r="V39" s="26">
        <f>'Vykazy HELIOS'!Q44/1000</f>
        <v>0</v>
      </c>
      <c r="W39" s="26">
        <f>'Vykazy HELIOS'!R44/1000</f>
        <v>0</v>
      </c>
      <c r="X39" s="26">
        <f>'Vykazy HELIOS'!S44/1000</f>
        <v>0</v>
      </c>
      <c r="Y39" s="26">
        <f>'Vykazy HELIOS'!T44/1000</f>
        <v>0</v>
      </c>
      <c r="Z39" s="26">
        <f>'Vykazy HELIOS'!U44/1000</f>
        <v>0</v>
      </c>
      <c r="AC39" t="s">
        <v>672</v>
      </c>
      <c r="AD39" t="s">
        <v>673</v>
      </c>
      <c r="AE39">
        <v>36</v>
      </c>
      <c r="AF39">
        <v>0</v>
      </c>
      <c r="AG39">
        <v>0</v>
      </c>
      <c r="AH39" t="s">
        <v>674</v>
      </c>
    </row>
    <row r="40" spans="2:34" x14ac:dyDescent="0.2">
      <c r="B40" s="17" t="s">
        <v>27</v>
      </c>
      <c r="C40" s="18"/>
      <c r="D40" s="9" t="s">
        <v>176</v>
      </c>
      <c r="E40" s="10"/>
      <c r="F40" s="11"/>
      <c r="G40" s="11"/>
      <c r="H40" s="158">
        <v>37</v>
      </c>
      <c r="I40" s="30">
        <f>'Vykazy HELIOS'!D45/1000</f>
        <v>0</v>
      </c>
      <c r="J40" s="26">
        <f>'Vykazy HELIOS'!E45/1000</f>
        <v>0</v>
      </c>
      <c r="K40" s="26">
        <f>'Vykazy HELIOS'!F45/1000</f>
        <v>0</v>
      </c>
      <c r="L40" s="26">
        <f>'Vykazy HELIOS'!G45/1000</f>
        <v>0</v>
      </c>
      <c r="M40" s="26">
        <f>'Vykazy HELIOS'!H45/1000</f>
        <v>0</v>
      </c>
      <c r="N40" s="26">
        <f>'Vykazy HELIOS'!I45/1000</f>
        <v>0</v>
      </c>
      <c r="O40" s="26">
        <f>'Vykazy HELIOS'!J45/1000</f>
        <v>0</v>
      </c>
      <c r="P40" s="26">
        <f>'Vykazy HELIOS'!K45/1000</f>
        <v>0</v>
      </c>
      <c r="Q40" s="26">
        <f>'Vykazy HELIOS'!L45/1000</f>
        <v>0</v>
      </c>
      <c r="R40" s="26">
        <f>'Vykazy HELIOS'!M45/1000</f>
        <v>0</v>
      </c>
      <c r="S40" s="26">
        <f>'Vykazy HELIOS'!N45/1000</f>
        <v>0</v>
      </c>
      <c r="T40" s="26">
        <f>'Vykazy HELIOS'!O45/1000</f>
        <v>0</v>
      </c>
      <c r="U40" s="26">
        <f>'Vykazy HELIOS'!P45/1000</f>
        <v>0</v>
      </c>
      <c r="V40" s="26">
        <f>'Vykazy HELIOS'!Q45/1000</f>
        <v>0</v>
      </c>
      <c r="W40" s="26">
        <f>'Vykazy HELIOS'!R45/1000</f>
        <v>0</v>
      </c>
      <c r="X40" s="26">
        <f>'Vykazy HELIOS'!S45/1000</f>
        <v>0</v>
      </c>
      <c r="Y40" s="26">
        <f>'Vykazy HELIOS'!T45/1000</f>
        <v>0</v>
      </c>
      <c r="Z40" s="26">
        <f>'Vykazy HELIOS'!U45/1000</f>
        <v>0</v>
      </c>
      <c r="AC40" t="s">
        <v>675</v>
      </c>
      <c r="AD40" t="s">
        <v>676</v>
      </c>
      <c r="AE40">
        <v>37</v>
      </c>
      <c r="AF40">
        <v>0</v>
      </c>
      <c r="AG40">
        <v>0</v>
      </c>
      <c r="AH40" t="s">
        <v>677</v>
      </c>
    </row>
    <row r="41" spans="2:34" x14ac:dyDescent="0.2">
      <c r="B41" s="19" t="s">
        <v>28</v>
      </c>
      <c r="C41" s="18"/>
      <c r="D41" s="9" t="s">
        <v>177</v>
      </c>
      <c r="E41" s="10"/>
      <c r="F41" s="11"/>
      <c r="G41" s="11"/>
      <c r="H41" s="158">
        <v>38</v>
      </c>
      <c r="I41" s="30">
        <f>'Vykazy HELIOS'!D46/1000</f>
        <v>0</v>
      </c>
      <c r="J41" s="26">
        <f>'Vykazy HELIOS'!E46/1000</f>
        <v>0</v>
      </c>
      <c r="K41" s="26">
        <f>'Vykazy HELIOS'!F46/1000</f>
        <v>0</v>
      </c>
      <c r="L41" s="26">
        <f>'Vykazy HELIOS'!G46/1000</f>
        <v>0</v>
      </c>
      <c r="M41" s="26">
        <f>'Vykazy HELIOS'!H46/1000</f>
        <v>0</v>
      </c>
      <c r="N41" s="26">
        <f>'Vykazy HELIOS'!I46/1000</f>
        <v>0</v>
      </c>
      <c r="O41" s="26">
        <f>'Vykazy HELIOS'!J46/1000</f>
        <v>0</v>
      </c>
      <c r="P41" s="26">
        <f>'Vykazy HELIOS'!K46/1000</f>
        <v>0</v>
      </c>
      <c r="Q41" s="26">
        <f>'Vykazy HELIOS'!L46/1000</f>
        <v>0</v>
      </c>
      <c r="R41" s="26">
        <f>'Vykazy HELIOS'!M46/1000</f>
        <v>0</v>
      </c>
      <c r="S41" s="26">
        <f>'Vykazy HELIOS'!N46/1000</f>
        <v>0</v>
      </c>
      <c r="T41" s="26">
        <f>'Vykazy HELIOS'!O46/1000</f>
        <v>0</v>
      </c>
      <c r="U41" s="26">
        <f>'Vykazy HELIOS'!P46/1000</f>
        <v>0</v>
      </c>
      <c r="V41" s="26">
        <f>'Vykazy HELIOS'!Q46/1000</f>
        <v>0</v>
      </c>
      <c r="W41" s="26">
        <f>'Vykazy HELIOS'!R46/1000</f>
        <v>0</v>
      </c>
      <c r="X41" s="26">
        <f>'Vykazy HELIOS'!S46/1000</f>
        <v>0</v>
      </c>
      <c r="Y41" s="26">
        <f>'Vykazy HELIOS'!T46/1000</f>
        <v>0</v>
      </c>
      <c r="Z41" s="26">
        <f>'Vykazy HELIOS'!U46/1000</f>
        <v>0</v>
      </c>
      <c r="AC41" t="s">
        <v>23</v>
      </c>
      <c r="AD41" t="s">
        <v>678</v>
      </c>
      <c r="AE41">
        <v>38</v>
      </c>
      <c r="AF41">
        <v>0</v>
      </c>
      <c r="AG41">
        <v>0</v>
      </c>
      <c r="AH41" t="s">
        <v>679</v>
      </c>
    </row>
    <row r="42" spans="2:34" x14ac:dyDescent="0.2">
      <c r="B42" s="17" t="s">
        <v>29</v>
      </c>
      <c r="C42" s="18"/>
      <c r="D42" s="9" t="s">
        <v>178</v>
      </c>
      <c r="E42" s="10"/>
      <c r="F42" s="11"/>
      <c r="G42" s="11"/>
      <c r="H42" s="158">
        <v>39</v>
      </c>
      <c r="I42" s="30">
        <f>'Vykazy HELIOS'!D47/1000</f>
        <v>0</v>
      </c>
      <c r="J42" s="26">
        <f>'Vykazy HELIOS'!E47/1000</f>
        <v>0</v>
      </c>
      <c r="K42" s="26">
        <f>'Vykazy HELIOS'!F47/1000</f>
        <v>3.915</v>
      </c>
      <c r="L42" s="26">
        <f>'Vykazy HELIOS'!G47/1000</f>
        <v>0</v>
      </c>
      <c r="M42" s="26">
        <f>'Vykazy HELIOS'!H47/1000</f>
        <v>0</v>
      </c>
      <c r="N42" s="26">
        <f>'Vykazy HELIOS'!I47/1000</f>
        <v>0</v>
      </c>
      <c r="O42" s="26">
        <f>'Vykazy HELIOS'!J47/1000</f>
        <v>0</v>
      </c>
      <c r="P42" s="26">
        <f>'Vykazy HELIOS'!K47/1000</f>
        <v>0</v>
      </c>
      <c r="Q42" s="26">
        <f>'Vykazy HELIOS'!L47/1000</f>
        <v>0</v>
      </c>
      <c r="R42" s="26">
        <f>'Vykazy HELIOS'!M47/1000</f>
        <v>0</v>
      </c>
      <c r="S42" s="26">
        <f>'Vykazy HELIOS'!N47/1000</f>
        <v>0</v>
      </c>
      <c r="T42" s="26">
        <f>'Vykazy HELIOS'!O47/1000</f>
        <v>66.896450000000002</v>
      </c>
      <c r="U42" s="26">
        <f>'Vykazy HELIOS'!P47/1000</f>
        <v>46.776530000000001</v>
      </c>
      <c r="V42" s="26">
        <f>'Vykazy HELIOS'!Q47/1000</f>
        <v>9.0467199999999988</v>
      </c>
      <c r="W42" s="26">
        <f>'Vykazy HELIOS'!R47/1000</f>
        <v>0</v>
      </c>
      <c r="X42" s="26">
        <f>'Vykazy HELIOS'!S47/1000</f>
        <v>0</v>
      </c>
      <c r="Y42" s="26">
        <f>'Vykazy HELIOS'!T47/1000</f>
        <v>0</v>
      </c>
      <c r="Z42" s="26">
        <f>'Vykazy HELIOS'!U47/1000</f>
        <v>0</v>
      </c>
      <c r="AC42" t="s">
        <v>24</v>
      </c>
      <c r="AD42" t="s">
        <v>680</v>
      </c>
      <c r="AE42">
        <v>39</v>
      </c>
      <c r="AF42">
        <v>3280</v>
      </c>
      <c r="AG42">
        <v>2800</v>
      </c>
      <c r="AH42" t="s">
        <v>681</v>
      </c>
    </row>
    <row r="43" spans="2:34" x14ac:dyDescent="0.2">
      <c r="B43" s="19" t="s">
        <v>30</v>
      </c>
      <c r="C43" s="18"/>
      <c r="D43" s="9" t="s">
        <v>179</v>
      </c>
      <c r="E43" s="10"/>
      <c r="F43" s="11"/>
      <c r="G43" s="11"/>
      <c r="H43" s="158">
        <v>40</v>
      </c>
      <c r="I43" s="30">
        <f>'Vykazy HELIOS'!D48/1000</f>
        <v>0</v>
      </c>
      <c r="J43" s="26">
        <f>'Vykazy HELIOS'!E48/1000</f>
        <v>0</v>
      </c>
      <c r="K43" s="26">
        <f>'Vykazy HELIOS'!F48/1000</f>
        <v>1.95</v>
      </c>
      <c r="L43" s="26">
        <f>'Vykazy HELIOS'!G48/1000</f>
        <v>0</v>
      </c>
      <c r="M43" s="26">
        <f>'Vykazy HELIOS'!H48/1000</f>
        <v>0</v>
      </c>
      <c r="N43" s="26">
        <f>'Vykazy HELIOS'!I48/1000</f>
        <v>0</v>
      </c>
      <c r="O43" s="26">
        <f>'Vykazy HELIOS'!J48/1000</f>
        <v>0</v>
      </c>
      <c r="P43" s="26">
        <f>'Vykazy HELIOS'!K48/1000</f>
        <v>0</v>
      </c>
      <c r="Q43" s="26">
        <f>'Vykazy HELIOS'!L48/1000</f>
        <v>0</v>
      </c>
      <c r="R43" s="26">
        <f>'Vykazy HELIOS'!M48/1000</f>
        <v>0</v>
      </c>
      <c r="S43" s="26">
        <f>'Vykazy HELIOS'!N48/1000</f>
        <v>122.7197</v>
      </c>
      <c r="T43" s="26">
        <f>'Vykazy HELIOS'!O48/1000</f>
        <v>0</v>
      </c>
      <c r="U43" s="26">
        <f>'Vykazy HELIOS'!P48/1000</f>
        <v>0</v>
      </c>
      <c r="V43" s="26">
        <f>'Vykazy HELIOS'!Q48/1000</f>
        <v>0</v>
      </c>
      <c r="W43" s="26">
        <f>'Vykazy HELIOS'!R48/1000</f>
        <v>0</v>
      </c>
      <c r="X43" s="26">
        <f>'Vykazy HELIOS'!S48/1000</f>
        <v>0</v>
      </c>
      <c r="Y43" s="26">
        <f>'Vykazy HELIOS'!T48/1000</f>
        <v>0</v>
      </c>
      <c r="Z43" s="26">
        <f>'Vykazy HELIOS'!U48/1000</f>
        <v>0</v>
      </c>
      <c r="AC43" t="s">
        <v>682</v>
      </c>
      <c r="AD43" t="s">
        <v>683</v>
      </c>
      <c r="AE43">
        <v>40</v>
      </c>
      <c r="AF43">
        <v>0</v>
      </c>
      <c r="AG43">
        <v>0</v>
      </c>
      <c r="AH43" t="s">
        <v>684</v>
      </c>
    </row>
    <row r="44" spans="2:34" x14ac:dyDescent="0.2">
      <c r="B44" s="19" t="s">
        <v>32</v>
      </c>
      <c r="C44" s="18"/>
      <c r="D44" s="9" t="s">
        <v>267</v>
      </c>
      <c r="E44" s="10"/>
      <c r="F44" s="11"/>
      <c r="G44" s="11"/>
      <c r="H44" s="158">
        <v>41</v>
      </c>
      <c r="I44" s="30">
        <f>'Vykazy HELIOS'!D49/1000</f>
        <v>0</v>
      </c>
      <c r="J44" s="26">
        <f>'Vykazy HELIOS'!E49/1000</f>
        <v>0</v>
      </c>
      <c r="K44" s="26">
        <f>'Vykazy HELIOS'!F49/1000</f>
        <v>0</v>
      </c>
      <c r="L44" s="26">
        <f>'Vykazy HELIOS'!G49/1000</f>
        <v>0</v>
      </c>
      <c r="M44" s="26">
        <f>'Vykazy HELIOS'!H49/1000</f>
        <v>0</v>
      </c>
      <c r="N44" s="26">
        <f>'Vykazy HELIOS'!I49/1000</f>
        <v>0</v>
      </c>
      <c r="O44" s="26">
        <f>'Vykazy HELIOS'!J49/1000</f>
        <v>0</v>
      </c>
      <c r="P44" s="26">
        <f>'Vykazy HELIOS'!K49/1000</f>
        <v>0</v>
      </c>
      <c r="Q44" s="26">
        <f>'Vykazy HELIOS'!L49/1000</f>
        <v>0</v>
      </c>
      <c r="R44" s="26">
        <f>'Vykazy HELIOS'!M49/1000</f>
        <v>0</v>
      </c>
      <c r="S44" s="26">
        <f>'Vykazy HELIOS'!N49/1000</f>
        <v>0</v>
      </c>
      <c r="T44" s="26">
        <f>'Vykazy HELIOS'!O49/1000</f>
        <v>0</v>
      </c>
      <c r="U44" s="26">
        <f>'Vykazy HELIOS'!P49/1000</f>
        <v>0</v>
      </c>
      <c r="V44" s="26">
        <f>'Vykazy HELIOS'!Q49/1000</f>
        <v>0</v>
      </c>
      <c r="W44" s="26">
        <f>'Vykazy HELIOS'!R49/1000</f>
        <v>0</v>
      </c>
      <c r="X44" s="26">
        <f>'Vykazy HELIOS'!S49/1000</f>
        <v>0</v>
      </c>
      <c r="Y44" s="26">
        <f>'Vykazy HELIOS'!T49/1000</f>
        <v>0</v>
      </c>
      <c r="Z44" s="26">
        <f>'Vykazy HELIOS'!U49/1000</f>
        <v>0</v>
      </c>
      <c r="AC44" t="s">
        <v>685</v>
      </c>
      <c r="AD44" t="s">
        <v>686</v>
      </c>
      <c r="AE44">
        <v>41</v>
      </c>
      <c r="AF44">
        <v>3280</v>
      </c>
      <c r="AG44">
        <v>2800</v>
      </c>
      <c r="AH44" t="s">
        <v>687</v>
      </c>
    </row>
    <row r="45" spans="2:34" x14ac:dyDescent="0.2">
      <c r="B45" s="17" t="s">
        <v>31</v>
      </c>
      <c r="C45" s="18"/>
      <c r="D45" s="9" t="s">
        <v>180</v>
      </c>
      <c r="E45" s="10"/>
      <c r="F45" s="11"/>
      <c r="G45" s="11"/>
      <c r="H45" s="158">
        <v>42</v>
      </c>
      <c r="I45" s="30">
        <f>'Vykazy HELIOS'!D50/1000</f>
        <v>3</v>
      </c>
      <c r="J45" s="26">
        <f>'Vykazy HELIOS'!E50/1000</f>
        <v>4</v>
      </c>
      <c r="K45" s="26">
        <f>'Vykazy HELIOS'!F50/1000</f>
        <v>8.2437299999999993</v>
      </c>
      <c r="L45" s="26">
        <f>'Vykazy HELIOS'!G50/1000</f>
        <v>2.6073000000000004</v>
      </c>
      <c r="M45" s="26">
        <f>'Vykazy HELIOS'!H50/1000</f>
        <v>3.7442899999999999</v>
      </c>
      <c r="N45" s="26">
        <f>'Vykazy HELIOS'!I50/1000</f>
        <v>3.8718400000000002</v>
      </c>
      <c r="O45" s="26">
        <f>'Vykazy HELIOS'!J50/1000</f>
        <v>0.88976999999999995</v>
      </c>
      <c r="P45" s="26">
        <f>'Vykazy HELIOS'!K50/1000</f>
        <v>0.55335000000000001</v>
      </c>
      <c r="Q45" s="26">
        <f>'Vykazy HELIOS'!L50/1000</f>
        <v>7.8203800000000001</v>
      </c>
      <c r="R45" s="26">
        <f>'Vykazy HELIOS'!M50/1000</f>
        <v>0.25341000000000002</v>
      </c>
      <c r="S45" s="26">
        <f>'Vykazy HELIOS'!N50/1000</f>
        <v>8.2000000000000003E-2</v>
      </c>
      <c r="T45" s="26">
        <f>'Vykazy HELIOS'!O50/1000</f>
        <v>0.32600000000000001</v>
      </c>
      <c r="U45" s="26">
        <f>'Vykazy HELIOS'!P50/1000</f>
        <v>1.5029999999999999</v>
      </c>
      <c r="V45" s="26">
        <f>'Vykazy HELIOS'!Q50/1000</f>
        <v>0.54400000000000004</v>
      </c>
      <c r="W45" s="26">
        <f>'Vykazy HELIOS'!R50/1000</f>
        <v>0.628</v>
      </c>
      <c r="X45" s="26">
        <f>'Vykazy HELIOS'!S50/1000</f>
        <v>2.8</v>
      </c>
      <c r="Y45" s="26">
        <f>'Vykazy HELIOS'!T50/1000</f>
        <v>3.28</v>
      </c>
      <c r="Z45" s="26">
        <f>'Vykazy HELIOS'!U50/1000</f>
        <v>0</v>
      </c>
      <c r="AC45" t="s">
        <v>0</v>
      </c>
      <c r="AD45" t="s">
        <v>688</v>
      </c>
      <c r="AE45">
        <v>42</v>
      </c>
      <c r="AF45">
        <v>0</v>
      </c>
      <c r="AG45">
        <v>0</v>
      </c>
      <c r="AH45" t="s">
        <v>689</v>
      </c>
    </row>
    <row r="46" spans="2:34" x14ac:dyDescent="0.2">
      <c r="B46" s="19" t="s">
        <v>33</v>
      </c>
      <c r="C46" s="18"/>
      <c r="D46" s="9" t="s">
        <v>181</v>
      </c>
      <c r="E46" s="10"/>
      <c r="F46" s="11"/>
      <c r="G46" s="11"/>
      <c r="H46" s="158">
        <v>43</v>
      </c>
      <c r="I46" s="30">
        <f>'Vykazy HELIOS'!D51/1000</f>
        <v>264</v>
      </c>
      <c r="J46" s="26">
        <f>'Vykazy HELIOS'!E51/1000</f>
        <v>1</v>
      </c>
      <c r="K46" s="26">
        <f>'Vykazy HELIOS'!F51/1000</f>
        <v>89.913749999999993</v>
      </c>
      <c r="L46" s="26">
        <f>'Vykazy HELIOS'!G51/1000</f>
        <v>46.155889999999999</v>
      </c>
      <c r="M46" s="26">
        <f>'Vykazy HELIOS'!H51/1000</f>
        <v>114.1203</v>
      </c>
      <c r="N46" s="26">
        <f>'Vykazy HELIOS'!I51/1000</f>
        <v>493.24559999999997</v>
      </c>
      <c r="O46" s="26">
        <f>'Vykazy HELIOS'!J51/1000</f>
        <v>583.93550000000005</v>
      </c>
      <c r="P46" s="26">
        <f>'Vykazy HELIOS'!K51/1000</f>
        <v>467.09258</v>
      </c>
      <c r="Q46" s="26">
        <f>'Vykazy HELIOS'!L51/1000</f>
        <v>747.83212000000003</v>
      </c>
      <c r="R46" s="26">
        <f>'Vykazy HELIOS'!M51/1000</f>
        <v>836.73427000000004</v>
      </c>
      <c r="S46" s="26">
        <f>'Vykazy HELIOS'!N51/1000</f>
        <v>666.20606000000009</v>
      </c>
      <c r="T46" s="26">
        <f>'Vykazy HELIOS'!O51/1000</f>
        <v>454.99194</v>
      </c>
      <c r="U46" s="26">
        <f>'Vykazy HELIOS'!P51/1000</f>
        <v>368.33456000000001</v>
      </c>
      <c r="V46" s="26">
        <f>'Vykazy HELIOS'!Q51/1000</f>
        <v>191.47023999999999</v>
      </c>
      <c r="W46" s="26">
        <f>'Vykazy HELIOS'!R51/1000</f>
        <v>308.57524000000001</v>
      </c>
      <c r="X46" s="26">
        <f>'Vykazy HELIOS'!S51/1000</f>
        <v>1379.4297900000001</v>
      </c>
      <c r="Y46" s="26">
        <f>'Vykazy HELIOS'!T51/1000</f>
        <v>957.62318999999991</v>
      </c>
      <c r="Z46" s="26">
        <f>'Vykazy HELIOS'!U51/1000</f>
        <v>636.97464000000002</v>
      </c>
      <c r="AC46" t="s">
        <v>26</v>
      </c>
      <c r="AD46" t="s">
        <v>690</v>
      </c>
      <c r="AE46">
        <v>43</v>
      </c>
      <c r="AF46">
        <v>957623.19</v>
      </c>
      <c r="AG46">
        <v>1379429.79</v>
      </c>
      <c r="AH46" t="s">
        <v>691</v>
      </c>
    </row>
    <row r="47" spans="2:34" x14ac:dyDescent="0.2">
      <c r="B47" s="17" t="s">
        <v>36</v>
      </c>
      <c r="C47" s="18"/>
      <c r="D47" s="9" t="s">
        <v>157</v>
      </c>
      <c r="E47" s="10"/>
      <c r="F47" s="11"/>
      <c r="G47" s="11"/>
      <c r="H47" s="158">
        <v>44</v>
      </c>
      <c r="I47" s="30">
        <f>'Vykazy HELIOS'!D52/1000</f>
        <v>185</v>
      </c>
      <c r="J47" s="26">
        <f>'Vykazy HELIOS'!E52/1000</f>
        <v>2934</v>
      </c>
      <c r="K47" s="26">
        <f>'Vykazy HELIOS'!F52/1000</f>
        <v>3299.8517400000001</v>
      </c>
      <c r="L47" s="26">
        <f>'Vykazy HELIOS'!G52/1000</f>
        <v>3050.5055400000001</v>
      </c>
      <c r="M47" s="26">
        <f>'Vykazy HELIOS'!H52/1000</f>
        <v>5647.3775500000002</v>
      </c>
      <c r="N47" s="26">
        <f>'Vykazy HELIOS'!I52/1000</f>
        <v>4132.2200599999996</v>
      </c>
      <c r="O47" s="26">
        <f>'Vykazy HELIOS'!J52/1000</f>
        <v>8040.7464300000001</v>
      </c>
      <c r="P47" s="26">
        <f>'Vykazy HELIOS'!K52/1000</f>
        <v>2060.2205400000003</v>
      </c>
      <c r="Q47" s="26">
        <f>'Vykazy HELIOS'!L52/1000</f>
        <v>2424.33565</v>
      </c>
      <c r="R47" s="26">
        <f>'Vykazy HELIOS'!M52/1000</f>
        <v>378.673</v>
      </c>
      <c r="S47" s="26">
        <f>'Vykazy HELIOS'!N52/1000</f>
        <v>5457.5467699999999</v>
      </c>
      <c r="T47" s="26">
        <f>'Vykazy HELIOS'!O52/1000</f>
        <v>2752.1286099999998</v>
      </c>
      <c r="U47" s="26">
        <f>'Vykazy HELIOS'!P52/1000</f>
        <v>1998.05279</v>
      </c>
      <c r="V47" s="26">
        <f>'Vykazy HELIOS'!Q52/1000</f>
        <v>8762.8495700000003</v>
      </c>
      <c r="W47" s="26">
        <f>'Vykazy HELIOS'!R52/1000</f>
        <v>4384.0850399999999</v>
      </c>
      <c r="X47" s="26">
        <f>'Vykazy HELIOS'!S52/1000</f>
        <v>5482.1667900000002</v>
      </c>
      <c r="Y47" s="26">
        <f>'Vykazy HELIOS'!T52/1000</f>
        <v>5661.6394299999993</v>
      </c>
      <c r="Z47" s="26">
        <f>'Vykazy HELIOS'!U52/1000</f>
        <v>2152.7883999999999</v>
      </c>
      <c r="AC47" t="s">
        <v>692</v>
      </c>
      <c r="AD47" t="s">
        <v>693</v>
      </c>
      <c r="AE47">
        <v>44</v>
      </c>
      <c r="AF47">
        <v>0</v>
      </c>
      <c r="AG47">
        <v>0</v>
      </c>
      <c r="AH47" t="s">
        <v>694</v>
      </c>
    </row>
    <row r="48" spans="2:34" x14ac:dyDescent="0.2">
      <c r="B48" s="19" t="s">
        <v>38</v>
      </c>
      <c r="C48" s="18"/>
      <c r="D48" s="9" t="s">
        <v>158</v>
      </c>
      <c r="E48" s="10"/>
      <c r="F48" s="11"/>
      <c r="G48" s="11"/>
      <c r="H48" s="158">
        <v>45</v>
      </c>
      <c r="I48" s="30">
        <f>'Vykazy HELIOS'!D53/1000</f>
        <v>377</v>
      </c>
      <c r="J48" s="26">
        <f>'Vykazy HELIOS'!E53/1000</f>
        <v>1080</v>
      </c>
      <c r="K48" s="26">
        <f>'Vykazy HELIOS'!F53/1000</f>
        <v>5271.5052699999997</v>
      </c>
      <c r="L48" s="26">
        <f>'Vykazy HELIOS'!G53/1000</f>
        <v>4942.8043499999994</v>
      </c>
      <c r="M48" s="26">
        <f>'Vykazy HELIOS'!H53/1000</f>
        <v>4788.9355599999999</v>
      </c>
      <c r="N48" s="26">
        <f>'Vykazy HELIOS'!I53/1000</f>
        <v>6056.4323899999999</v>
      </c>
      <c r="O48" s="26">
        <f>'Vykazy HELIOS'!J53/1000</f>
        <v>5220.0653899999998</v>
      </c>
      <c r="P48" s="26">
        <f>'Vykazy HELIOS'!K53/1000</f>
        <v>2311.9445299999998</v>
      </c>
      <c r="Q48" s="26">
        <f>'Vykazy HELIOS'!L53/1000</f>
        <v>3734.2927799999998</v>
      </c>
      <c r="R48" s="26">
        <f>'Vykazy HELIOS'!M53/1000</f>
        <v>685.84927000000005</v>
      </c>
      <c r="S48" s="26">
        <f>'Vykazy HELIOS'!N53/1000</f>
        <v>5829.5264500000003</v>
      </c>
      <c r="T48" s="26">
        <f>'Vykazy HELIOS'!O53/1000</f>
        <v>3195.1080200000001</v>
      </c>
      <c r="U48" s="26">
        <f>'Vykazy HELIOS'!P53/1000</f>
        <v>3130.2477699999999</v>
      </c>
      <c r="V48" s="26">
        <f>'Vykazy HELIOS'!Q53/1000</f>
        <v>6469.6523399999996</v>
      </c>
      <c r="W48" s="26">
        <f>'Vykazy HELIOS'!R53/1000</f>
        <v>5457.3085099999998</v>
      </c>
      <c r="X48" s="26">
        <f>'Vykazy HELIOS'!S53/1000</f>
        <v>5176.5585599999995</v>
      </c>
      <c r="Y48" s="26">
        <f>'Vykazy HELIOS'!T53/1000</f>
        <v>3805.0023999999999</v>
      </c>
      <c r="Z48" s="26">
        <f>'Vykazy HELIOS'!U53/1000</f>
        <v>1588.2972400000001</v>
      </c>
      <c r="AC48" t="s">
        <v>695</v>
      </c>
      <c r="AD48" t="s">
        <v>696</v>
      </c>
      <c r="AE48">
        <v>45</v>
      </c>
      <c r="AF48">
        <v>957623.19</v>
      </c>
      <c r="AG48">
        <v>1379429.79</v>
      </c>
      <c r="AH48" t="s">
        <v>697</v>
      </c>
    </row>
    <row r="49" spans="2:34" x14ac:dyDescent="0.2">
      <c r="B49" s="17" t="s">
        <v>275</v>
      </c>
      <c r="C49" s="18"/>
      <c r="D49" s="9" t="s">
        <v>276</v>
      </c>
      <c r="E49" s="10"/>
      <c r="F49" s="11"/>
      <c r="G49" s="11"/>
      <c r="H49" s="158">
        <v>46</v>
      </c>
      <c r="I49" s="30">
        <f>'Vykazy HELIOS'!D54/1000</f>
        <v>0</v>
      </c>
      <c r="J49" s="30">
        <f>'Vykazy HELIOS'!E54/1000</f>
        <v>0</v>
      </c>
      <c r="K49" s="30">
        <f>'Vykazy HELIOS'!F54/1000</f>
        <v>0</v>
      </c>
      <c r="L49" s="30">
        <f>'Vykazy HELIOS'!G54/1000</f>
        <v>0</v>
      </c>
      <c r="M49" s="30">
        <f>'Vykazy HELIOS'!H54/1000</f>
        <v>0</v>
      </c>
      <c r="N49" s="30">
        <f>'Vykazy HELIOS'!I54/1000</f>
        <v>0</v>
      </c>
      <c r="O49" s="30">
        <f>'Vykazy HELIOS'!J54/1000</f>
        <v>0</v>
      </c>
      <c r="P49" s="30">
        <f>'Vykazy HELIOS'!K54/1000</f>
        <v>0</v>
      </c>
      <c r="Q49" s="30">
        <f>'Vykazy HELIOS'!L54/1000</f>
        <v>0</v>
      </c>
      <c r="R49" s="30">
        <f>'Vykazy HELIOS'!M54/1000</f>
        <v>0</v>
      </c>
      <c r="S49" s="30">
        <f>'Vykazy HELIOS'!N54/1000</f>
        <v>0</v>
      </c>
      <c r="T49" s="30">
        <f>'Vykazy HELIOS'!O54/1000</f>
        <v>0</v>
      </c>
      <c r="U49" s="30">
        <f>'Vykazy HELIOS'!P54/1000</f>
        <v>0</v>
      </c>
      <c r="V49" s="30">
        <f>'Vykazy HELIOS'!Q54/1000</f>
        <v>0</v>
      </c>
      <c r="W49" s="30">
        <f>'Vykazy HELIOS'!R54/1000</f>
        <v>0</v>
      </c>
      <c r="X49" s="30">
        <f>'Vykazy HELIOS'!S54/1000</f>
        <v>0</v>
      </c>
      <c r="Y49" s="30">
        <f>'Vykazy HELIOS'!T54/1000</f>
        <v>0</v>
      </c>
      <c r="Z49" s="30">
        <f>'Vykazy HELIOS'!U54/1000</f>
        <v>0</v>
      </c>
      <c r="AC49" t="s">
        <v>25</v>
      </c>
      <c r="AD49" t="s">
        <v>157</v>
      </c>
      <c r="AE49">
        <v>46</v>
      </c>
      <c r="AF49">
        <v>4281596.09</v>
      </c>
      <c r="AG49">
        <v>5482166.79</v>
      </c>
      <c r="AH49" t="s">
        <v>698</v>
      </c>
    </row>
    <row r="50" spans="2:34" x14ac:dyDescent="0.2">
      <c r="B50" s="19" t="s">
        <v>40</v>
      </c>
      <c r="C50" s="18"/>
      <c r="D50" s="9" t="s">
        <v>277</v>
      </c>
      <c r="E50" s="10"/>
      <c r="F50" s="11"/>
      <c r="G50" s="11"/>
      <c r="H50" s="158">
        <v>47</v>
      </c>
      <c r="I50" s="30">
        <f>'Vykazy HELIOS'!D55/1000</f>
        <v>0</v>
      </c>
      <c r="J50" s="30">
        <f>'Vykazy HELIOS'!E55/1000</f>
        <v>0</v>
      </c>
      <c r="K50" s="30">
        <f>'Vykazy HELIOS'!F55/1000</f>
        <v>0</v>
      </c>
      <c r="L50" s="30">
        <f>'Vykazy HELIOS'!G55/1000</f>
        <v>0</v>
      </c>
      <c r="M50" s="30">
        <f>'Vykazy HELIOS'!H55/1000</f>
        <v>0</v>
      </c>
      <c r="N50" s="30">
        <f>'Vykazy HELIOS'!I55/1000</f>
        <v>0</v>
      </c>
      <c r="O50" s="30">
        <f>'Vykazy HELIOS'!J55/1000</f>
        <v>0</v>
      </c>
      <c r="P50" s="30">
        <f>'Vykazy HELIOS'!K55/1000</f>
        <v>0</v>
      </c>
      <c r="Q50" s="30">
        <f>'Vykazy HELIOS'!L55/1000</f>
        <v>0</v>
      </c>
      <c r="R50" s="30">
        <f>'Vykazy HELIOS'!M55/1000</f>
        <v>0</v>
      </c>
      <c r="S50" s="30">
        <f>'Vykazy HELIOS'!N55/1000</f>
        <v>0</v>
      </c>
      <c r="T50" s="30">
        <f>'Vykazy HELIOS'!O55/1000</f>
        <v>0</v>
      </c>
      <c r="U50" s="30">
        <f>'Vykazy HELIOS'!P55/1000</f>
        <v>0</v>
      </c>
      <c r="V50" s="30">
        <f>'Vykazy HELIOS'!Q55/1000</f>
        <v>0</v>
      </c>
      <c r="W50" s="30">
        <f>'Vykazy HELIOS'!R55/1000</f>
        <v>0</v>
      </c>
      <c r="X50" s="30">
        <f>'Vykazy HELIOS'!S55/1000</f>
        <v>0</v>
      </c>
      <c r="Y50" s="30">
        <f>'Vykazy HELIOS'!T55/1000</f>
        <v>0</v>
      </c>
      <c r="Z50" s="30">
        <f>'Vykazy HELIOS'!U55/1000</f>
        <v>0</v>
      </c>
      <c r="AC50" t="s">
        <v>28</v>
      </c>
      <c r="AD50" t="s">
        <v>158</v>
      </c>
      <c r="AE50">
        <v>47</v>
      </c>
      <c r="AF50">
        <v>2712872.71</v>
      </c>
      <c r="AG50">
        <v>5176558.5599999996</v>
      </c>
      <c r="AH50" t="s">
        <v>699</v>
      </c>
    </row>
    <row r="51" spans="2:34" x14ac:dyDescent="0.2">
      <c r="B51" s="21" t="s">
        <v>4</v>
      </c>
      <c r="C51" s="22"/>
      <c r="D51" s="12" t="s">
        <v>182</v>
      </c>
      <c r="E51" s="13"/>
      <c r="F51" s="14"/>
      <c r="G51" s="14"/>
      <c r="H51" s="161">
        <v>48</v>
      </c>
      <c r="I51" s="29">
        <f t="shared" ref="I51:N51" si="57">I34-I35+I36+I40-I41+I42-I43-I44+I45-I46+I47-I48+I49-I50</f>
        <v>-453</v>
      </c>
      <c r="J51" s="29">
        <f t="shared" si="57"/>
        <v>1857</v>
      </c>
      <c r="K51" s="29">
        <f t="shared" si="57"/>
        <v>-2051.3585499999995</v>
      </c>
      <c r="L51" s="29">
        <f t="shared" si="57"/>
        <v>-1935.8473999999992</v>
      </c>
      <c r="M51" s="29">
        <f t="shared" si="57"/>
        <v>748.06598000000031</v>
      </c>
      <c r="N51" s="29">
        <f t="shared" si="57"/>
        <v>-2413.5860900000002</v>
      </c>
      <c r="O51" s="29">
        <f t="shared" ref="O51:P51" si="58">O34-O35+O36+O40-O41+O42-O43-O44+O45-O46+O47-O48+O49-O50</f>
        <v>2237.6353100000006</v>
      </c>
      <c r="P51" s="29">
        <f t="shared" si="58"/>
        <v>-718.26321999999936</v>
      </c>
      <c r="Q51" s="29">
        <f t="shared" ref="Q51:R51" si="59">Q34-Q35+Q36+Q40-Q41+Q42-Q43-Q44+Q45-Q46+Q47-Q48+Q49-Q50</f>
        <v>-2049.9688699999997</v>
      </c>
      <c r="R51" s="29">
        <f t="shared" si="59"/>
        <v>-1143.6571300000001</v>
      </c>
      <c r="S51" s="29">
        <f t="shared" ref="S51:T51" si="60">S34-S35+S36+S40-S41+S42-S43-S44+S45-S46+S47-S48+S49-S50</f>
        <v>-1160.8234400000001</v>
      </c>
      <c r="T51" s="29">
        <f t="shared" si="60"/>
        <v>-830.7489000000005</v>
      </c>
      <c r="U51" s="29">
        <f t="shared" ref="U51:V51" si="61">U34-U35+U36+U40-U41+U42-U43-U44+U45-U46+U47-U48+U49-U50</f>
        <v>-1452.25001</v>
      </c>
      <c r="V51" s="29">
        <f t="shared" si="61"/>
        <v>2111.3177100000003</v>
      </c>
      <c r="W51" s="29">
        <f t="shared" ref="W51:X51" si="62">W34-W35+W36+W40-W41+W42-W43-W44+W45-W46+W47-W48+W49-W50</f>
        <v>-1381.1707099999999</v>
      </c>
      <c r="X51" s="29">
        <f t="shared" si="62"/>
        <v>-1071.0215599999992</v>
      </c>
      <c r="Y51" s="29">
        <f t="shared" ref="Y51:Z51" si="63">Y34-Y35+Y36+Y40-Y41+Y42-Y43-Y44+Y45-Y46+Y47-Y48+Y49-Y50</f>
        <v>902.29383999999982</v>
      </c>
      <c r="Z51" s="29">
        <f>Z34-Z35+Z36+Z40-Z41+Z42-Z43-Z44+Z45-Z46+Z47-Z48+Z49-Z50</f>
        <v>-72.4834800000001</v>
      </c>
      <c r="AC51" t="s">
        <v>363</v>
      </c>
      <c r="AD51" t="s">
        <v>700</v>
      </c>
      <c r="AE51">
        <v>48</v>
      </c>
      <c r="AF51">
        <v>614380.18999999994</v>
      </c>
      <c r="AG51">
        <v>-1071021.56</v>
      </c>
      <c r="AH51" t="s">
        <v>701</v>
      </c>
    </row>
    <row r="52" spans="2:34" x14ac:dyDescent="0.2">
      <c r="B52" s="19" t="s">
        <v>183</v>
      </c>
      <c r="C52" s="18"/>
      <c r="D52" s="9" t="s">
        <v>34</v>
      </c>
      <c r="E52" s="10"/>
      <c r="F52" s="11"/>
      <c r="G52" s="11"/>
      <c r="H52" s="158">
        <v>49</v>
      </c>
      <c r="I52" s="26">
        <f t="shared" ref="I52:N52" si="64">I53+I54</f>
        <v>45</v>
      </c>
      <c r="J52" s="26">
        <f t="shared" si="64"/>
        <v>2704</v>
      </c>
      <c r="K52" s="26">
        <f t="shared" si="64"/>
        <v>2585.1999999999998</v>
      </c>
      <c r="L52" s="26">
        <f t="shared" si="64"/>
        <v>72.760000000000005</v>
      </c>
      <c r="M52" s="26">
        <f t="shared" si="64"/>
        <v>2683.8</v>
      </c>
      <c r="N52" s="26">
        <f t="shared" si="64"/>
        <v>825.32</v>
      </c>
      <c r="O52" s="26">
        <f t="shared" ref="O52:P52" si="65">O53+O54</f>
        <v>4177.72</v>
      </c>
      <c r="P52" s="26">
        <f t="shared" si="65"/>
        <v>4813</v>
      </c>
      <c r="Q52" s="26">
        <f t="shared" ref="Q52:R52" si="66">Q53+Q54</f>
        <v>6466.22</v>
      </c>
      <c r="R52" s="26">
        <f t="shared" si="66"/>
        <v>2668.46236</v>
      </c>
      <c r="S52" s="26">
        <f t="shared" ref="S52:T52" si="67">S53+S54</f>
        <v>1300.6089099999999</v>
      </c>
      <c r="T52" s="26">
        <f t="shared" si="67"/>
        <v>3485.3937900000001</v>
      </c>
      <c r="U52" s="26">
        <f t="shared" ref="U52:V52" si="68">U53+U54</f>
        <v>4242.2294699999993</v>
      </c>
      <c r="V52" s="26">
        <f t="shared" si="68"/>
        <v>205.53704000000002</v>
      </c>
      <c r="W52" s="26">
        <f t="shared" ref="W52:X52" si="69">W53+W54</f>
        <v>98.490719999999996</v>
      </c>
      <c r="X52" s="26">
        <f t="shared" si="69"/>
        <v>105.70986000000001</v>
      </c>
      <c r="Y52" s="26">
        <f t="shared" ref="Y52:Z52" si="70">Y53+Y54</f>
        <v>1079.4260200000001</v>
      </c>
      <c r="Z52" s="26">
        <f t="shared" si="70"/>
        <v>0</v>
      </c>
      <c r="AC52" t="s">
        <v>375</v>
      </c>
      <c r="AD52" t="s">
        <v>702</v>
      </c>
      <c r="AE52">
        <v>49</v>
      </c>
      <c r="AF52">
        <v>41511383.799999997</v>
      </c>
      <c r="AG52">
        <v>300685.19</v>
      </c>
      <c r="AH52" t="s">
        <v>703</v>
      </c>
    </row>
    <row r="53" spans="2:34" x14ac:dyDescent="0.2">
      <c r="B53" s="19" t="s">
        <v>183</v>
      </c>
      <c r="C53" s="18">
        <v>1</v>
      </c>
      <c r="D53" s="9" t="s">
        <v>184</v>
      </c>
      <c r="E53" s="10"/>
      <c r="F53" s="11"/>
      <c r="G53" s="11"/>
      <c r="H53" s="158">
        <v>50</v>
      </c>
      <c r="I53" s="30">
        <f>'Vykazy HELIOS'!D58/1000</f>
        <v>45</v>
      </c>
      <c r="J53" s="26">
        <f>'Vykazy HELIOS'!E58/1000</f>
        <v>2704</v>
      </c>
      <c r="K53" s="26">
        <f>'Vykazy HELIOS'!F58/1000</f>
        <v>2585.1999999999998</v>
      </c>
      <c r="L53" s="26">
        <f>'Vykazy HELIOS'!G58/1000</f>
        <v>72.760000000000005</v>
      </c>
      <c r="M53" s="26">
        <f>'Vykazy HELIOS'!H58/1000</f>
        <v>2683.8</v>
      </c>
      <c r="N53" s="26">
        <f>'Vykazy HELIOS'!I58/1000</f>
        <v>825.32</v>
      </c>
      <c r="O53" s="26">
        <f>'Vykazy HELIOS'!J58/1000</f>
        <v>4177.72</v>
      </c>
      <c r="P53" s="26">
        <f>'Vykazy HELIOS'!K58/1000</f>
        <v>4813</v>
      </c>
      <c r="Q53" s="26">
        <f>'Vykazy HELIOS'!L58/1000</f>
        <v>6466.22</v>
      </c>
      <c r="R53" s="26">
        <f>'Vykazy HELIOS'!M58/1000</f>
        <v>2668.46236</v>
      </c>
      <c r="S53" s="26">
        <f>'Vykazy HELIOS'!N58/1000</f>
        <v>1300.6089099999999</v>
      </c>
      <c r="T53" s="26">
        <f>'Vykazy HELIOS'!O58/1000</f>
        <v>3485.3937900000001</v>
      </c>
      <c r="U53" s="26">
        <f>'Vykazy HELIOS'!P58/1000</f>
        <v>4242.2294699999993</v>
      </c>
      <c r="V53" s="26">
        <f>'Vykazy HELIOS'!Q58/1000</f>
        <v>205.53704000000002</v>
      </c>
      <c r="W53" s="26">
        <f>'Vykazy HELIOS'!R58/1000</f>
        <v>98.490719999999996</v>
      </c>
      <c r="X53" s="26">
        <f>'Vykazy HELIOS'!S58/1000</f>
        <v>105.70986000000001</v>
      </c>
      <c r="Y53" s="26">
        <f>'Vykazy HELIOS'!T58/1000</f>
        <v>1079.4260200000001</v>
      </c>
      <c r="Z53" s="26">
        <f>'Vykazy HELIOS'!U58/1000</f>
        <v>0</v>
      </c>
      <c r="AC53" t="s">
        <v>30</v>
      </c>
      <c r="AD53" t="s">
        <v>313</v>
      </c>
      <c r="AE53">
        <v>50</v>
      </c>
      <c r="AF53">
        <v>0</v>
      </c>
      <c r="AG53">
        <v>105709.86</v>
      </c>
      <c r="AH53" t="s">
        <v>704</v>
      </c>
    </row>
    <row r="54" spans="2:34" x14ac:dyDescent="0.2">
      <c r="B54" s="19"/>
      <c r="C54" s="18">
        <v>2</v>
      </c>
      <c r="D54" s="9" t="s">
        <v>185</v>
      </c>
      <c r="E54" s="10"/>
      <c r="F54" s="11"/>
      <c r="G54" s="11"/>
      <c r="H54" s="158">
        <v>51</v>
      </c>
      <c r="I54" s="26">
        <f>'Vykazy HELIOS'!D59/1000</f>
        <v>0</v>
      </c>
      <c r="J54" s="26">
        <f>'Vykazy HELIOS'!E59/1000</f>
        <v>0</v>
      </c>
      <c r="K54" s="26">
        <f>'Vykazy HELIOS'!F59/1000</f>
        <v>0</v>
      </c>
      <c r="L54" s="26">
        <f>'Vykazy HELIOS'!G59/1000</f>
        <v>0</v>
      </c>
      <c r="M54" s="26">
        <f>'Vykazy HELIOS'!H59/1000</f>
        <v>0</v>
      </c>
      <c r="N54" s="26">
        <f>'Vykazy HELIOS'!I59/1000</f>
        <v>0</v>
      </c>
      <c r="O54" s="26">
        <f>'Vykazy HELIOS'!J59/1000</f>
        <v>0</v>
      </c>
      <c r="P54" s="26">
        <f>'Vykazy HELIOS'!K59/1000</f>
        <v>0</v>
      </c>
      <c r="Q54" s="26">
        <f>'Vykazy HELIOS'!L59/1000</f>
        <v>0</v>
      </c>
      <c r="R54" s="26">
        <f>'Vykazy HELIOS'!M59/1000</f>
        <v>0</v>
      </c>
      <c r="S54" s="26">
        <f>'Vykazy HELIOS'!N59/1000</f>
        <v>0</v>
      </c>
      <c r="T54" s="26">
        <f>'Vykazy HELIOS'!O59/1000</f>
        <v>0</v>
      </c>
      <c r="U54" s="26">
        <f>'Vykazy HELIOS'!P59/1000</f>
        <v>0</v>
      </c>
      <c r="V54" s="26">
        <f>'Vykazy HELIOS'!Q59/1000</f>
        <v>0</v>
      </c>
      <c r="W54" s="26">
        <f>'Vykazy HELIOS'!R59/1000</f>
        <v>0</v>
      </c>
      <c r="X54" s="26">
        <f>'Vykazy HELIOS'!S59/1000</f>
        <v>0</v>
      </c>
      <c r="Y54" s="26">
        <f>'Vykazy HELIOS'!T59/1000</f>
        <v>0</v>
      </c>
      <c r="Z54" s="26">
        <f>'Vykazy HELIOS'!U59/1000</f>
        <v>0</v>
      </c>
      <c r="AC54" t="s">
        <v>705</v>
      </c>
      <c r="AD54" t="s">
        <v>706</v>
      </c>
      <c r="AE54">
        <v>51</v>
      </c>
      <c r="AF54">
        <v>0</v>
      </c>
      <c r="AG54">
        <v>105709.86</v>
      </c>
      <c r="AH54" t="s">
        <v>707</v>
      </c>
    </row>
    <row r="55" spans="2:34" x14ac:dyDescent="0.2">
      <c r="B55" s="23" t="s">
        <v>35</v>
      </c>
      <c r="C55" s="22"/>
      <c r="D55" s="12" t="s">
        <v>186</v>
      </c>
      <c r="E55" s="13"/>
      <c r="F55" s="14"/>
      <c r="G55" s="14"/>
      <c r="H55" s="161">
        <v>52</v>
      </c>
      <c r="I55" s="29">
        <f t="shared" ref="I55:N55" si="71">I33+I51-I52</f>
        <v>90</v>
      </c>
      <c r="J55" s="29">
        <f t="shared" si="71"/>
        <v>9952</v>
      </c>
      <c r="K55" s="29">
        <f>K33+K51-K52</f>
        <v>10207.319999999992</v>
      </c>
      <c r="L55" s="29">
        <f t="shared" si="71"/>
        <v>364.96077000000219</v>
      </c>
      <c r="M55" s="29">
        <f t="shared" si="71"/>
        <v>10946.788699999983</v>
      </c>
      <c r="N55" s="29">
        <f t="shared" si="71"/>
        <v>3465.7195799999513</v>
      </c>
      <c r="O55" s="29">
        <f t="shared" ref="O55:P55" si="72">O33+O51-O52</f>
        <v>17693.028049999943</v>
      </c>
      <c r="P55" s="29">
        <f t="shared" si="72"/>
        <v>20139.726130000039</v>
      </c>
      <c r="Q55" s="29">
        <f t="shared" ref="Q55:R55" si="73">Q33+Q51-Q52</f>
        <v>27464.244969999942</v>
      </c>
      <c r="R55" s="29">
        <f t="shared" si="73"/>
        <v>11279.744989999943</v>
      </c>
      <c r="S55" s="29">
        <f t="shared" ref="S55:T55" si="74">S33+S51-S52</f>
        <v>5099.9291699999885</v>
      </c>
      <c r="T55" s="29">
        <f t="shared" si="74"/>
        <v>14000.915259999974</v>
      </c>
      <c r="U55" s="29">
        <f t="shared" ref="U55:V55" si="75">U33+U51-U52</f>
        <v>16862.279300000071</v>
      </c>
      <c r="V55" s="29">
        <f t="shared" si="75"/>
        <v>747.38091999997016</v>
      </c>
      <c r="W55" s="29">
        <f t="shared" ref="W55:X55" si="76">W33+W51-W52</f>
        <v>-1429.312799999994</v>
      </c>
      <c r="X55" s="29">
        <f t="shared" si="76"/>
        <v>122.55732999998683</v>
      </c>
      <c r="Y55" s="29">
        <f t="shared" ref="Y55:Z55" si="77">Y33+Y51-Y52</f>
        <v>4661.2696400000013</v>
      </c>
      <c r="Z55" s="29">
        <f t="shared" si="77"/>
        <v>16997.753489999981</v>
      </c>
      <c r="AC55" t="s">
        <v>708</v>
      </c>
      <c r="AD55" t="s">
        <v>709</v>
      </c>
      <c r="AE55">
        <v>52</v>
      </c>
      <c r="AF55">
        <v>0</v>
      </c>
      <c r="AG55">
        <v>0</v>
      </c>
      <c r="AH55" t="s">
        <v>710</v>
      </c>
    </row>
    <row r="56" spans="2:34" x14ac:dyDescent="0.2">
      <c r="B56" s="17" t="s">
        <v>187</v>
      </c>
      <c r="C56" s="18"/>
      <c r="D56" s="9" t="s">
        <v>37</v>
      </c>
      <c r="E56" s="10"/>
      <c r="F56" s="11"/>
      <c r="G56" s="11"/>
      <c r="H56" s="158">
        <v>53</v>
      </c>
      <c r="I56" s="30">
        <f>'Vykazy HELIOS'!D61/1000</f>
        <v>0</v>
      </c>
      <c r="J56" s="26">
        <f>'Vykazy HELIOS'!E61/1000</f>
        <v>0</v>
      </c>
      <c r="K56" s="26">
        <f>'Vykazy HELIOS'!F61/1000</f>
        <v>0</v>
      </c>
      <c r="L56" s="26">
        <f>'Vykazy HELIOS'!G61/1000</f>
        <v>0</v>
      </c>
      <c r="M56" s="26">
        <f>'Vykazy HELIOS'!H61/1000</f>
        <v>0</v>
      </c>
      <c r="N56" s="26">
        <f>'Vykazy HELIOS'!I61/1000</f>
        <v>0</v>
      </c>
      <c r="O56" s="26">
        <f>'Vykazy HELIOS'!J61/1000</f>
        <v>0</v>
      </c>
      <c r="P56" s="26">
        <f>'Vykazy HELIOS'!K61/1000</f>
        <v>0</v>
      </c>
      <c r="Q56" s="26">
        <f>'Vykazy HELIOS'!L61/1000</f>
        <v>0</v>
      </c>
      <c r="R56" s="26">
        <f>'Vykazy HELIOS'!M61/1000</f>
        <v>0</v>
      </c>
      <c r="S56" s="26">
        <f>'Vykazy HELIOS'!N61/1000</f>
        <v>0</v>
      </c>
      <c r="T56" s="26">
        <f>'Vykazy HELIOS'!O61/1000</f>
        <v>0</v>
      </c>
      <c r="U56" s="26">
        <f>'Vykazy HELIOS'!P61/1000</f>
        <v>0</v>
      </c>
      <c r="V56" s="26">
        <f>'Vykazy HELIOS'!Q61/1000</f>
        <v>0</v>
      </c>
      <c r="W56" s="26">
        <f>'Vykazy HELIOS'!R61/1000</f>
        <v>0</v>
      </c>
      <c r="X56" s="26">
        <f>'Vykazy HELIOS'!S61/1000</f>
        <v>0</v>
      </c>
      <c r="Y56" s="26">
        <f>'Vykazy HELIOS'!T61/1000</f>
        <v>0</v>
      </c>
      <c r="Z56" s="26">
        <f>'Vykazy HELIOS'!U61/1000</f>
        <v>0</v>
      </c>
      <c r="AC56" t="s">
        <v>375</v>
      </c>
      <c r="AD56" t="s">
        <v>711</v>
      </c>
      <c r="AE56">
        <v>53</v>
      </c>
      <c r="AF56">
        <v>41511383.799999997</v>
      </c>
      <c r="AG56">
        <v>194975.33</v>
      </c>
      <c r="AH56" t="s">
        <v>712</v>
      </c>
    </row>
    <row r="57" spans="2:34" x14ac:dyDescent="0.2">
      <c r="B57" s="19" t="s">
        <v>42</v>
      </c>
      <c r="C57" s="18"/>
      <c r="D57" s="9" t="s">
        <v>39</v>
      </c>
      <c r="E57" s="10"/>
      <c r="F57" s="11"/>
      <c r="G57" s="11"/>
      <c r="H57" s="158">
        <v>54</v>
      </c>
      <c r="I57" s="30">
        <f>'Vykazy HELIOS'!D62/1000</f>
        <v>0</v>
      </c>
      <c r="J57" s="26">
        <f>'Vykazy HELIOS'!E62/1000</f>
        <v>0</v>
      </c>
      <c r="K57" s="26">
        <f>'Vykazy HELIOS'!F62/1000</f>
        <v>0</v>
      </c>
      <c r="L57" s="26">
        <f>'Vykazy HELIOS'!G62/1000</f>
        <v>0</v>
      </c>
      <c r="M57" s="26">
        <f>'Vykazy HELIOS'!H62/1000</f>
        <v>0</v>
      </c>
      <c r="N57" s="26">
        <f>'Vykazy HELIOS'!I62/1000</f>
        <v>0</v>
      </c>
      <c r="O57" s="26">
        <f>'Vykazy HELIOS'!J62/1000</f>
        <v>0</v>
      </c>
      <c r="P57" s="26">
        <f>'Vykazy HELIOS'!K62/1000</f>
        <v>0</v>
      </c>
      <c r="Q57" s="26">
        <f>'Vykazy HELIOS'!L62/1000</f>
        <v>0</v>
      </c>
      <c r="R57" s="26">
        <f>'Vykazy HELIOS'!M62/1000</f>
        <v>0</v>
      </c>
      <c r="S57" s="26">
        <f>'Vykazy HELIOS'!N62/1000</f>
        <v>-26.346</v>
      </c>
      <c r="T57" s="26">
        <f>'Vykazy HELIOS'!O62/1000</f>
        <v>-239.51400000000001</v>
      </c>
      <c r="U57" s="26">
        <f>'Vykazy HELIOS'!P62/1000</f>
        <v>41.637999999999998</v>
      </c>
      <c r="V57" s="26">
        <f>'Vykazy HELIOS'!Q62/1000</f>
        <v>-86.912999999999997</v>
      </c>
      <c r="W57" s="26">
        <f>'Vykazy HELIOS'!R62/1000</f>
        <v>-1461.4143700000002</v>
      </c>
      <c r="X57" s="26">
        <f>'Vykazy HELIOS'!S62/1000</f>
        <v>-72.418000000000006</v>
      </c>
      <c r="Y57" s="26">
        <f>'Vykazy HELIOS'!T62/1000</f>
        <v>20.828679999999999</v>
      </c>
      <c r="Z57" s="26">
        <f>'Vykazy HELIOS'!U62/1000</f>
        <v>80.626999999999995</v>
      </c>
      <c r="AC57" t="s">
        <v>32</v>
      </c>
      <c r="AD57" t="s">
        <v>380</v>
      </c>
      <c r="AE57">
        <v>54</v>
      </c>
      <c r="AF57">
        <v>0</v>
      </c>
      <c r="AG57">
        <v>0</v>
      </c>
      <c r="AH57" t="s">
        <v>713</v>
      </c>
    </row>
    <row r="58" spans="2:34" x14ac:dyDescent="0.2">
      <c r="B58" s="19" t="s">
        <v>188</v>
      </c>
      <c r="C58" s="18"/>
      <c r="D58" s="9" t="s">
        <v>41</v>
      </c>
      <c r="E58" s="10"/>
      <c r="F58" s="11"/>
      <c r="G58" s="11"/>
      <c r="H58" s="158">
        <v>55</v>
      </c>
      <c r="I58" s="30">
        <f>'Vykazy HELIOS'!D63/1000</f>
        <v>0</v>
      </c>
      <c r="J58" s="25">
        <f>'Vykazy HELIOS'!E63/1000</f>
        <v>0</v>
      </c>
      <c r="K58" s="25">
        <f>'Vykazy HELIOS'!F63/1000</f>
        <v>0</v>
      </c>
      <c r="L58" s="25">
        <f>'Vykazy HELIOS'!G63/1000</f>
        <v>0</v>
      </c>
      <c r="M58" s="25">
        <f>'Vykazy HELIOS'!H63/1000</f>
        <v>0</v>
      </c>
      <c r="N58" s="25">
        <f>'Vykazy HELIOS'!I63/1000</f>
        <v>0</v>
      </c>
      <c r="O58" s="25">
        <f>'Vykazy HELIOS'!J63/1000</f>
        <v>0</v>
      </c>
      <c r="P58" s="25">
        <f>'Vykazy HELIOS'!K63/1000</f>
        <v>0</v>
      </c>
      <c r="Q58" s="25">
        <f>'Vykazy HELIOS'!L63/1000</f>
        <v>0</v>
      </c>
      <c r="R58" s="25">
        <f>'Vykazy HELIOS'!M63/1000</f>
        <v>0</v>
      </c>
      <c r="S58" s="25">
        <f>'Vykazy HELIOS'!N63/1000</f>
        <v>0</v>
      </c>
      <c r="T58" s="25">
        <f>'Vykazy HELIOS'!O63/1000</f>
        <v>0</v>
      </c>
      <c r="U58" s="25">
        <f>'Vykazy HELIOS'!P63/1000</f>
        <v>0</v>
      </c>
      <c r="V58" s="25">
        <f>'Vykazy HELIOS'!Q63/1000</f>
        <v>0</v>
      </c>
      <c r="W58" s="25">
        <f>'Vykazy HELIOS'!R63/1000</f>
        <v>0</v>
      </c>
      <c r="X58" s="25">
        <f>'Vykazy HELIOS'!S63/1000</f>
        <v>0</v>
      </c>
      <c r="Y58" s="25">
        <f>'Vykazy HELIOS'!T63/1000</f>
        <v>0</v>
      </c>
      <c r="Z58" s="25">
        <f>'Vykazy HELIOS'!U63/1000</f>
        <v>0</v>
      </c>
      <c r="AC58" t="s">
        <v>381</v>
      </c>
      <c r="AD58" t="s">
        <v>382</v>
      </c>
      <c r="AE58">
        <v>55</v>
      </c>
      <c r="AF58">
        <v>41511383.799999997</v>
      </c>
      <c r="AG58">
        <v>194975.33</v>
      </c>
      <c r="AH58" t="s">
        <v>714</v>
      </c>
    </row>
    <row r="59" spans="2:34" x14ac:dyDescent="0.2">
      <c r="B59" s="19"/>
      <c r="C59" s="153" t="s">
        <v>378</v>
      </c>
      <c r="D59" s="9" t="s">
        <v>373</v>
      </c>
      <c r="E59" s="10"/>
      <c r="F59" s="11"/>
      <c r="G59" s="11"/>
      <c r="H59" s="158">
        <v>56</v>
      </c>
      <c r="I59" s="30">
        <f>'Vykazy HELIOS'!D64/1000</f>
        <v>0</v>
      </c>
      <c r="J59" s="25">
        <f>'Vykazy HELIOS'!E64/1000</f>
        <v>0</v>
      </c>
      <c r="K59" s="25">
        <f>'Vykazy HELIOS'!F64/1000</f>
        <v>0</v>
      </c>
      <c r="L59" s="25">
        <f>'Vykazy HELIOS'!G64/1000</f>
        <v>0</v>
      </c>
      <c r="M59" s="25">
        <f>'Vykazy HELIOS'!H64/1000</f>
        <v>0</v>
      </c>
      <c r="N59" s="25">
        <f>'Vykazy HELIOS'!I64/1000</f>
        <v>0</v>
      </c>
      <c r="O59" s="25">
        <f>'Vykazy HELIOS'!J64/1000</f>
        <v>0</v>
      </c>
      <c r="P59" s="25">
        <f>'Vykazy HELIOS'!K64/1000</f>
        <v>0</v>
      </c>
      <c r="Q59" s="25">
        <f>'Vykazy HELIOS'!L64/1000</f>
        <v>0</v>
      </c>
      <c r="R59" s="25">
        <f>'Vykazy HELIOS'!M64/1000</f>
        <v>0</v>
      </c>
      <c r="S59" s="25">
        <f>'Vykazy HELIOS'!N64/1000</f>
        <v>0</v>
      </c>
      <c r="T59" s="25">
        <f>'Vykazy HELIOS'!O64/1000</f>
        <v>0</v>
      </c>
      <c r="U59" s="25">
        <f>'Vykazy HELIOS'!P64/1000</f>
        <v>0</v>
      </c>
      <c r="V59" s="25">
        <f>'Vykazy HELIOS'!Q64/1000</f>
        <v>0</v>
      </c>
      <c r="W59" s="25">
        <f>'Vykazy HELIOS'!R64/1000</f>
        <v>0</v>
      </c>
      <c r="X59" s="25">
        <f>'Vykazy HELIOS'!S64/1000</f>
        <v>0</v>
      </c>
      <c r="Y59" s="25">
        <f>'Vykazy HELIOS'!T64/1000</f>
        <v>0</v>
      </c>
      <c r="Z59" s="25">
        <f>'Vykazy HELIOS'!U64/1000</f>
        <v>0</v>
      </c>
      <c r="AC59" t="s">
        <v>363</v>
      </c>
      <c r="AD59" t="s">
        <v>715</v>
      </c>
      <c r="AE59">
        <v>56</v>
      </c>
      <c r="AF59">
        <v>298380377.81</v>
      </c>
      <c r="AG59">
        <v>311660433.31</v>
      </c>
      <c r="AH59" t="s">
        <v>716</v>
      </c>
    </row>
    <row r="60" spans="2:34" x14ac:dyDescent="0.2">
      <c r="B60" s="19"/>
      <c r="C60" s="153" t="s">
        <v>51</v>
      </c>
      <c r="D60" s="9" t="s">
        <v>374</v>
      </c>
      <c r="E60" s="10"/>
      <c r="F60" s="11"/>
      <c r="G60" s="11"/>
      <c r="H60" s="158">
        <v>57</v>
      </c>
      <c r="I60" s="30">
        <f>'Vykazy HELIOS'!D65/1000</f>
        <v>0</v>
      </c>
      <c r="J60" s="25">
        <f>'Vykazy HELIOS'!E65/1000</f>
        <v>0</v>
      </c>
      <c r="K60" s="25">
        <f>'Vykazy HELIOS'!F65/1000</f>
        <v>0</v>
      </c>
      <c r="L60" s="25">
        <f>'Vykazy HELIOS'!G65/1000</f>
        <v>0</v>
      </c>
      <c r="M60" s="25">
        <f>'Vykazy HELIOS'!H65/1000</f>
        <v>0</v>
      </c>
      <c r="N60" s="25">
        <f>'Vykazy HELIOS'!I65/1000</f>
        <v>0</v>
      </c>
      <c r="O60" s="25">
        <f>'Vykazy HELIOS'!J65/1000</f>
        <v>0</v>
      </c>
      <c r="P60" s="25">
        <f>'Vykazy HELIOS'!K65/1000</f>
        <v>0</v>
      </c>
      <c r="Q60" s="25">
        <f>'Vykazy HELIOS'!L65/1000</f>
        <v>0</v>
      </c>
      <c r="R60" s="25">
        <f>'Vykazy HELIOS'!M65/1000</f>
        <v>0</v>
      </c>
      <c r="S60" s="25">
        <f>'Vykazy HELIOS'!N65/1000</f>
        <v>0</v>
      </c>
      <c r="T60" s="25">
        <f>'Vykazy HELIOS'!O65/1000</f>
        <v>0</v>
      </c>
      <c r="U60" s="25">
        <f>'Vykazy HELIOS'!P65/1000</f>
        <v>0</v>
      </c>
      <c r="V60" s="25">
        <f>'Vykazy HELIOS'!Q65/1000</f>
        <v>0</v>
      </c>
      <c r="W60" s="25">
        <f>'Vykazy HELIOS'!R65/1000</f>
        <v>0</v>
      </c>
      <c r="X60" s="25">
        <f>'Vykazy HELIOS'!S65/1000</f>
        <v>0</v>
      </c>
      <c r="Y60" s="25">
        <f>'Vykazy HELIOS'!T65/1000</f>
        <v>0</v>
      </c>
      <c r="Z60" s="25">
        <f>'Vykazy HELIOS'!U65/1000</f>
        <v>0</v>
      </c>
    </row>
    <row r="61" spans="2:34" x14ac:dyDescent="0.2">
      <c r="B61" s="20" t="s">
        <v>4</v>
      </c>
      <c r="C61" s="18"/>
      <c r="D61" s="9" t="s">
        <v>189</v>
      </c>
      <c r="E61" s="10"/>
      <c r="F61" s="11"/>
      <c r="G61" s="11"/>
      <c r="H61" s="158">
        <v>58</v>
      </c>
      <c r="I61" s="26">
        <f t="shared" ref="I61:N61" si="78">I56-I57-I58</f>
        <v>0</v>
      </c>
      <c r="J61" s="26">
        <f t="shared" si="78"/>
        <v>0</v>
      </c>
      <c r="K61" s="26">
        <f t="shared" si="78"/>
        <v>0</v>
      </c>
      <c r="L61" s="26">
        <f t="shared" si="78"/>
        <v>0</v>
      </c>
      <c r="M61" s="26">
        <f t="shared" si="78"/>
        <v>0</v>
      </c>
      <c r="N61" s="26">
        <f t="shared" si="78"/>
        <v>0</v>
      </c>
      <c r="O61" s="26">
        <f t="shared" ref="O61:P61" si="79">O56-O57-O58</f>
        <v>0</v>
      </c>
      <c r="P61" s="26">
        <f t="shared" si="79"/>
        <v>0</v>
      </c>
      <c r="Q61" s="26">
        <f t="shared" ref="Q61:R61" si="80">Q56-Q57-Q58</f>
        <v>0</v>
      </c>
      <c r="R61" s="26">
        <f t="shared" si="80"/>
        <v>0</v>
      </c>
      <c r="S61" s="26">
        <f t="shared" ref="S61:T61" si="81">S56-S57-S58</f>
        <v>26.346</v>
      </c>
      <c r="T61" s="26">
        <f t="shared" si="81"/>
        <v>239.51400000000001</v>
      </c>
      <c r="U61" s="26">
        <f t="shared" ref="U61:V61" si="82">U56-U57-U58</f>
        <v>-41.637999999999998</v>
      </c>
      <c r="V61" s="26">
        <f t="shared" si="82"/>
        <v>86.912999999999997</v>
      </c>
      <c r="W61" s="26">
        <f t="shared" ref="W61:X61" si="83">W56-W57-W58</f>
        <v>1461.4143700000002</v>
      </c>
      <c r="X61" s="26">
        <f t="shared" si="83"/>
        <v>72.418000000000006</v>
      </c>
      <c r="Y61" s="26">
        <f t="shared" ref="Y61:Z61" si="84">Y56-Y57-Y58</f>
        <v>-20.828679999999999</v>
      </c>
      <c r="Z61" s="26">
        <f t="shared" si="84"/>
        <v>-80.626999999999995</v>
      </c>
    </row>
    <row r="62" spans="2:34" x14ac:dyDescent="0.2">
      <c r="B62" s="19" t="s">
        <v>190</v>
      </c>
      <c r="C62" s="18"/>
      <c r="D62" s="9" t="s">
        <v>191</v>
      </c>
      <c r="E62" s="10"/>
      <c r="F62" s="11"/>
      <c r="G62" s="11"/>
      <c r="H62" s="158">
        <v>59</v>
      </c>
      <c r="I62" s="30">
        <f>'Vykazy HELIOS'!D67/1000</f>
        <v>0</v>
      </c>
      <c r="J62" s="25">
        <f>'Vykazy HELIOS'!E67/1000</f>
        <v>0</v>
      </c>
      <c r="K62" s="25">
        <f>'Vykazy HELIOS'!F67/1000</f>
        <v>0</v>
      </c>
      <c r="L62" s="25">
        <f>'Vykazy HELIOS'!G67/1000</f>
        <v>0</v>
      </c>
      <c r="M62" s="25">
        <f>'Vykazy HELIOS'!H67/1000</f>
        <v>0</v>
      </c>
      <c r="N62" s="25">
        <f>'Vykazy HELIOS'!I67/1000</f>
        <v>0</v>
      </c>
      <c r="O62" s="25">
        <f>'Vykazy HELIOS'!J67/1000</f>
        <v>0</v>
      </c>
      <c r="P62" s="25">
        <f>'Vykazy HELIOS'!K67/1000</f>
        <v>0</v>
      </c>
      <c r="Q62" s="25">
        <f>'Vykazy HELIOS'!L67/1000</f>
        <v>0</v>
      </c>
      <c r="R62" s="25">
        <f>'Vykazy HELIOS'!M67/1000</f>
        <v>0</v>
      </c>
      <c r="S62" s="25">
        <f>'Vykazy HELIOS'!N67/1000</f>
        <v>0</v>
      </c>
      <c r="T62" s="25">
        <f>'Vykazy HELIOS'!O67/1000</f>
        <v>0</v>
      </c>
      <c r="U62" s="25">
        <f>'Vykazy HELIOS'!P67/1000</f>
        <v>0</v>
      </c>
      <c r="V62" s="25">
        <f>'Vykazy HELIOS'!Q67/1000</f>
        <v>0</v>
      </c>
      <c r="W62" s="25">
        <f>'Vykazy HELIOS'!R67/1000</f>
        <v>0</v>
      </c>
      <c r="X62" s="25">
        <f>'Vykazy HELIOS'!S67/1000</f>
        <v>0</v>
      </c>
      <c r="Y62" s="25">
        <f>'Vykazy HELIOS'!T67/1000</f>
        <v>0</v>
      </c>
      <c r="Z62" s="25">
        <f>'Vykazy HELIOS'!U67/1000</f>
        <v>0</v>
      </c>
    </row>
    <row r="63" spans="2:34" x14ac:dyDescent="0.2">
      <c r="B63" s="23" t="s">
        <v>43</v>
      </c>
      <c r="C63" s="22"/>
      <c r="D63" s="12" t="s">
        <v>192</v>
      </c>
      <c r="E63" s="13"/>
      <c r="F63" s="14"/>
      <c r="G63" s="14"/>
      <c r="H63" s="161">
        <v>60</v>
      </c>
      <c r="I63" s="29">
        <f t="shared" ref="I63:N63" si="85">I55+I61-I62</f>
        <v>90</v>
      </c>
      <c r="J63" s="29">
        <f t="shared" si="85"/>
        <v>9952</v>
      </c>
      <c r="K63" s="29">
        <f>K55+K61-K62</f>
        <v>10207.319999999992</v>
      </c>
      <c r="L63" s="29">
        <f t="shared" si="85"/>
        <v>364.96077000000219</v>
      </c>
      <c r="M63" s="29">
        <f t="shared" si="85"/>
        <v>10946.788699999983</v>
      </c>
      <c r="N63" s="29">
        <f t="shared" si="85"/>
        <v>3465.7195799999513</v>
      </c>
      <c r="O63" s="29">
        <f t="shared" ref="O63:P63" si="86">O55+O61-O62</f>
        <v>17693.028049999943</v>
      </c>
      <c r="P63" s="29">
        <f t="shared" si="86"/>
        <v>20139.726130000039</v>
      </c>
      <c r="Q63" s="29">
        <f t="shared" ref="Q63:R63" si="87">Q55+Q61-Q62</f>
        <v>27464.244969999942</v>
      </c>
      <c r="R63" s="29">
        <f t="shared" si="87"/>
        <v>11279.744989999943</v>
      </c>
      <c r="S63" s="29">
        <f t="shared" ref="S63:T63" si="88">S55+S61-S62</f>
        <v>5126.2751699999881</v>
      </c>
      <c r="T63" s="29">
        <f t="shared" si="88"/>
        <v>14240.429259999974</v>
      </c>
      <c r="U63" s="29">
        <f t="shared" ref="U63:V63" si="89">U55+U61-U62</f>
        <v>16820.641300000072</v>
      </c>
      <c r="V63" s="29">
        <f t="shared" si="89"/>
        <v>834.29391999997017</v>
      </c>
      <c r="W63" s="29">
        <f t="shared" ref="W63:X63" si="90">W55+W61-W62</f>
        <v>32.101570000006177</v>
      </c>
      <c r="X63" s="29">
        <f t="shared" si="90"/>
        <v>194.97532999998685</v>
      </c>
      <c r="Y63" s="29">
        <f t="shared" ref="Y63:Z63" si="91">Y55+Y61-Y62</f>
        <v>4640.4409600000017</v>
      </c>
      <c r="Z63" s="29">
        <f t="shared" si="91"/>
        <v>16917.126489999981</v>
      </c>
    </row>
    <row r="64" spans="2:34" x14ac:dyDescent="0.2">
      <c r="B64" s="24" t="s">
        <v>43</v>
      </c>
      <c r="C64" s="18"/>
      <c r="D64" s="9" t="s">
        <v>193</v>
      </c>
      <c r="E64" s="10"/>
      <c r="F64" s="11"/>
      <c r="G64" s="11"/>
      <c r="H64" s="158">
        <v>61</v>
      </c>
      <c r="I64" s="28">
        <f t="shared" ref="I64:N64" si="92">I63+I52</f>
        <v>135</v>
      </c>
      <c r="J64" s="28">
        <f t="shared" si="92"/>
        <v>12656</v>
      </c>
      <c r="K64" s="28">
        <f t="shared" si="92"/>
        <v>12792.519999999993</v>
      </c>
      <c r="L64" s="28">
        <f t="shared" si="92"/>
        <v>437.72077000000218</v>
      </c>
      <c r="M64" s="28">
        <f t="shared" si="92"/>
        <v>13630.588699999982</v>
      </c>
      <c r="N64" s="28">
        <f t="shared" si="92"/>
        <v>4291.0395799999515</v>
      </c>
      <c r="O64" s="28">
        <f t="shared" ref="O64:P64" si="93">O63+O52</f>
        <v>21870.748049999944</v>
      </c>
      <c r="P64" s="28">
        <f t="shared" si="93"/>
        <v>24952.726130000039</v>
      </c>
      <c r="Q64" s="28">
        <f t="shared" ref="Q64:R64" si="94">Q63+Q52</f>
        <v>33930.464969999943</v>
      </c>
      <c r="R64" s="28">
        <f t="shared" si="94"/>
        <v>13948.207349999942</v>
      </c>
      <c r="S64" s="28">
        <f t="shared" ref="S64:T64" si="95">S63+S52</f>
        <v>6426.884079999988</v>
      </c>
      <c r="T64" s="28">
        <f t="shared" si="95"/>
        <v>17725.823049999974</v>
      </c>
      <c r="U64" s="28">
        <f t="shared" ref="U64:V64" si="96">U63+U52</f>
        <v>21062.87077000007</v>
      </c>
      <c r="V64" s="28">
        <f t="shared" si="96"/>
        <v>1039.8309599999702</v>
      </c>
      <c r="W64" s="28">
        <f t="shared" ref="W64:X64" si="97">W63+W52</f>
        <v>130.59229000000619</v>
      </c>
      <c r="X64" s="28">
        <f t="shared" si="97"/>
        <v>300.68518999998685</v>
      </c>
      <c r="Y64" s="28">
        <f t="shared" ref="Y64:Z64" si="98">Y63+Y52</f>
        <v>5719.8669800000016</v>
      </c>
      <c r="Z64" s="28">
        <f t="shared" si="98"/>
        <v>16917.126489999981</v>
      </c>
    </row>
    <row r="65" spans="2:36" x14ac:dyDescent="0.2">
      <c r="B65" s="4" t="s">
        <v>269</v>
      </c>
    </row>
    <row r="66" spans="2:36" x14ac:dyDescent="0.2">
      <c r="B66" s="31"/>
      <c r="C66" s="16"/>
      <c r="D66" s="32" t="s">
        <v>44</v>
      </c>
      <c r="E66" s="33"/>
      <c r="F66" s="34"/>
      <c r="G66" s="34"/>
      <c r="H66" s="34"/>
      <c r="I66" s="35">
        <v>0</v>
      </c>
      <c r="J66" s="35">
        <v>0</v>
      </c>
      <c r="K66" s="35">
        <v>0</v>
      </c>
      <c r="L66" s="35">
        <v>0</v>
      </c>
      <c r="M66" s="35">
        <v>0</v>
      </c>
      <c r="N66" s="36">
        <v>0</v>
      </c>
      <c r="O66" s="36">
        <v>0</v>
      </c>
      <c r="P66" s="36">
        <v>0</v>
      </c>
      <c r="Q66" s="36">
        <v>0</v>
      </c>
      <c r="R66" s="36">
        <v>0</v>
      </c>
      <c r="S66" s="36">
        <v>0</v>
      </c>
      <c r="T66" s="36">
        <v>0</v>
      </c>
      <c r="U66" s="36">
        <v>0</v>
      </c>
      <c r="V66" s="36">
        <v>0</v>
      </c>
      <c r="W66" s="36">
        <v>0</v>
      </c>
      <c r="X66" s="36">
        <v>0</v>
      </c>
      <c r="Y66" s="36">
        <v>0</v>
      </c>
      <c r="Z66" s="36">
        <v>0</v>
      </c>
    </row>
    <row r="67" spans="2:36" x14ac:dyDescent="0.2">
      <c r="B67" s="116"/>
      <c r="C67" s="69"/>
      <c r="D67" s="111" t="s">
        <v>45</v>
      </c>
      <c r="E67" s="1"/>
      <c r="F67" s="112"/>
      <c r="G67" s="112"/>
      <c r="H67" s="112"/>
      <c r="I67" s="113">
        <v>0</v>
      </c>
      <c r="J67" s="113">
        <v>0</v>
      </c>
      <c r="K67" s="113">
        <v>0</v>
      </c>
      <c r="L67" s="113">
        <v>0</v>
      </c>
      <c r="M67" s="113">
        <v>0</v>
      </c>
      <c r="N67" s="119">
        <v>0</v>
      </c>
      <c r="O67" s="119">
        <v>0</v>
      </c>
      <c r="P67" s="119">
        <v>0</v>
      </c>
      <c r="Q67" s="119">
        <v>0</v>
      </c>
      <c r="R67" s="119">
        <v>0</v>
      </c>
      <c r="S67" s="119">
        <v>0</v>
      </c>
      <c r="T67" s="119">
        <v>0</v>
      </c>
      <c r="U67" s="119">
        <v>0</v>
      </c>
      <c r="V67" s="119">
        <v>0</v>
      </c>
      <c r="W67" s="119">
        <v>0</v>
      </c>
      <c r="X67" s="119">
        <v>0</v>
      </c>
      <c r="Y67" s="119">
        <v>0</v>
      </c>
      <c r="Z67" s="119">
        <v>0</v>
      </c>
    </row>
    <row r="68" spans="2:36" x14ac:dyDescent="0.2">
      <c r="B68" s="37"/>
      <c r="C68" s="38"/>
      <c r="D68" s="39" t="s">
        <v>195</v>
      </c>
      <c r="E68" s="40"/>
      <c r="F68" s="41"/>
      <c r="G68" s="41"/>
      <c r="H68" s="41"/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6">
        <v>0</v>
      </c>
      <c r="O68" s="106">
        <v>0</v>
      </c>
      <c r="P68" s="106">
        <v>0</v>
      </c>
      <c r="Q68" s="106">
        <v>0</v>
      </c>
      <c r="R68" s="106">
        <v>0</v>
      </c>
      <c r="S68" s="106">
        <v>0</v>
      </c>
      <c r="T68" s="106">
        <v>0</v>
      </c>
      <c r="U68" s="106">
        <v>0</v>
      </c>
      <c r="V68" s="106">
        <v>0</v>
      </c>
      <c r="W68" s="106">
        <v>0</v>
      </c>
      <c r="X68" s="106">
        <v>0</v>
      </c>
      <c r="Y68" s="106">
        <v>0</v>
      </c>
      <c r="Z68" s="106">
        <v>0</v>
      </c>
    </row>
    <row r="69" spans="2:36" x14ac:dyDescent="0.2">
      <c r="B69" s="37"/>
      <c r="C69" s="38"/>
      <c r="D69" s="39" t="s">
        <v>194</v>
      </c>
      <c r="E69" s="40"/>
      <c r="F69" s="41"/>
      <c r="G69" s="41"/>
      <c r="H69" s="41"/>
      <c r="I69" s="42">
        <f t="shared" ref="I69:N69" si="99">I63-I66+I67-I68</f>
        <v>90</v>
      </c>
      <c r="J69" s="42">
        <f t="shared" si="99"/>
        <v>9952</v>
      </c>
      <c r="K69" s="42">
        <f t="shared" si="99"/>
        <v>10207.319999999992</v>
      </c>
      <c r="L69" s="42">
        <f t="shared" si="99"/>
        <v>364.96077000000219</v>
      </c>
      <c r="M69" s="42">
        <f t="shared" si="99"/>
        <v>10946.788699999983</v>
      </c>
      <c r="N69" s="43">
        <f t="shared" si="99"/>
        <v>3465.7195799999513</v>
      </c>
      <c r="O69" s="43">
        <f t="shared" ref="O69:P69" si="100">O63-O66+O67-O68</f>
        <v>17693.028049999943</v>
      </c>
      <c r="P69" s="43">
        <f t="shared" si="100"/>
        <v>20139.726130000039</v>
      </c>
      <c r="Q69" s="43">
        <f t="shared" ref="Q69:R69" si="101">Q63-Q66+Q67-Q68</f>
        <v>27464.244969999942</v>
      </c>
      <c r="R69" s="43">
        <f t="shared" si="101"/>
        <v>11279.744989999943</v>
      </c>
      <c r="S69" s="43">
        <f t="shared" ref="S69:T69" si="102">S63-S66+S67-S68</f>
        <v>5126.2751699999881</v>
      </c>
      <c r="T69" s="43">
        <f t="shared" si="102"/>
        <v>14240.429259999974</v>
      </c>
      <c r="U69" s="43">
        <f t="shared" ref="U69:V69" si="103">U63-U66+U67-U68</f>
        <v>16820.641300000072</v>
      </c>
      <c r="V69" s="43">
        <f t="shared" si="103"/>
        <v>834.29391999997017</v>
      </c>
      <c r="W69" s="43">
        <f t="shared" ref="W69:X69" si="104">W63-W66+W67-W68</f>
        <v>32.101570000006177</v>
      </c>
      <c r="X69" s="43">
        <f t="shared" si="104"/>
        <v>194.97532999998685</v>
      </c>
      <c r="Y69" s="43">
        <f t="shared" ref="Y69:Z69" si="105">Y63-Y66+Y67-Y68</f>
        <v>4640.4409600000017</v>
      </c>
      <c r="Z69" s="43">
        <f t="shared" si="105"/>
        <v>16917.126489999981</v>
      </c>
    </row>
    <row r="71" spans="2:36" x14ac:dyDescent="0.2">
      <c r="E71" t="s">
        <v>492</v>
      </c>
      <c r="I71">
        <f>'Vykazy HELIOS'!D69/1000-Výkazy!I64</f>
        <v>0</v>
      </c>
      <c r="J71">
        <f>'Vykazy HELIOS'!E69/1000-Výkazy!J64</f>
        <v>0</v>
      </c>
      <c r="K71">
        <f>'Vykazy HELIOS'!F69/1000-Výkazy!K64</f>
        <v>0</v>
      </c>
      <c r="L71">
        <f>'Vykazy HELIOS'!G69/1000-Výkazy!L64</f>
        <v>-2.1600499167107046E-12</v>
      </c>
      <c r="M71">
        <f>'Vykazy HELIOS'!H69/1000-Výkazy!M64</f>
        <v>1.6370904631912708E-11</v>
      </c>
      <c r="N71">
        <f>'Vykazy HELIOS'!I69/1000-Výkazy!N64</f>
        <v>4.8203219193965197E-11</v>
      </c>
      <c r="O71">
        <f>'Vykazy HELIOS'!J69/1000-Výkazy!O64</f>
        <v>5.8207660913467407E-11</v>
      </c>
      <c r="P71">
        <f>'Vykazy HELIOS'!K69/1000-Výkazy!P64</f>
        <v>-4.0017766878008842E-11</v>
      </c>
      <c r="Q71">
        <f>'Vykazy HELIOS'!L69/1000-Výkazy!Q64</f>
        <v>5.8207660913467407E-11</v>
      </c>
      <c r="R71">
        <f>'Vykazy HELIOS'!M69/1000-Výkazy!R64</f>
        <v>5.6388671509921551E-11</v>
      </c>
      <c r="S71">
        <f>'Vykazy HELIOS'!N69/1000-Výkazy!S64</f>
        <v>1.1823431123048067E-11</v>
      </c>
      <c r="T71">
        <f>'Vykazy HELIOS'!O69/1000-Výkazy!T64</f>
        <v>0</v>
      </c>
      <c r="U71">
        <f>'Vykazy HELIOS'!P69/1000-Výkazy!U64</f>
        <v>-6.9121597334742546E-11</v>
      </c>
      <c r="V71">
        <f>'Vykazy HELIOS'!Q69/1000-Výkazy!V64</f>
        <v>2.97859514830634E-11</v>
      </c>
      <c r="W71">
        <f>'Vykazy HELIOS'!R69/1000-Výkazy!W64</f>
        <v>-6.1959326558280736E-12</v>
      </c>
      <c r="X71">
        <f>'Vykazy HELIOS'!S69/1000-Výkazy!X64</f>
        <v>1.3130829756846651E-11</v>
      </c>
      <c r="Y71">
        <f>'Vykazy HELIOS'!T69/1000-Výkazy!Y64</f>
        <v>0</v>
      </c>
      <c r="Z71">
        <f>'Vykazy HELIOS'!U69/1000-Výkazy!Z64</f>
        <v>0</v>
      </c>
    </row>
    <row r="72" spans="2:36" x14ac:dyDescent="0.2">
      <c r="B72" s="2"/>
    </row>
    <row r="73" spans="2:36" ht="12.75" x14ac:dyDescent="0.2">
      <c r="B73" s="2" t="s">
        <v>281</v>
      </c>
      <c r="D73" s="5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341">
        <f>Y75/$K$75</f>
        <v>2.9751892191998182</v>
      </c>
      <c r="Z73" s="341">
        <f>Z75/$K$75</f>
        <v>2.6662734340151819</v>
      </c>
      <c r="AC73" t="s">
        <v>340</v>
      </c>
      <c r="AD73" t="s">
        <v>341</v>
      </c>
      <c r="AE73" t="s">
        <v>342</v>
      </c>
      <c r="AF73" t="s">
        <v>584</v>
      </c>
      <c r="AG73" t="s">
        <v>585</v>
      </c>
      <c r="AH73" t="s">
        <v>582</v>
      </c>
      <c r="AI73" t="s">
        <v>583</v>
      </c>
      <c r="AJ73" t="s">
        <v>598</v>
      </c>
    </row>
    <row r="74" spans="2:36" ht="12" thickBot="1" x14ac:dyDescent="0.25">
      <c r="B74" s="63"/>
      <c r="C74" s="64"/>
      <c r="D74" s="65" t="s">
        <v>46</v>
      </c>
      <c r="E74" s="66"/>
      <c r="F74" s="66"/>
      <c r="G74" s="66"/>
      <c r="H74" s="163" t="s">
        <v>342</v>
      </c>
      <c r="I74" s="67">
        <f t="shared" ref="I74:N74" si="106">I3</f>
        <v>2007</v>
      </c>
      <c r="J74" s="67">
        <f t="shared" si="106"/>
        <v>2008</v>
      </c>
      <c r="K74" s="67">
        <f t="shared" si="106"/>
        <v>2009</v>
      </c>
      <c r="L74" s="67">
        <f t="shared" si="106"/>
        <v>2010</v>
      </c>
      <c r="M74" s="67">
        <f t="shared" si="106"/>
        <v>2011</v>
      </c>
      <c r="N74" s="67">
        <f t="shared" si="106"/>
        <v>2012</v>
      </c>
      <c r="O74" s="67">
        <f t="shared" ref="O74:P74" si="107">O3</f>
        <v>2013</v>
      </c>
      <c r="P74" s="67">
        <f t="shared" si="107"/>
        <v>2014</v>
      </c>
      <c r="Q74" s="67">
        <f t="shared" ref="Q74:R74" si="108">Q3</f>
        <v>2015</v>
      </c>
      <c r="R74" s="67">
        <f t="shared" si="108"/>
        <v>2016</v>
      </c>
      <c r="S74" s="67">
        <f t="shared" ref="S74:T74" si="109">S3</f>
        <v>2017</v>
      </c>
      <c r="T74" s="67">
        <f t="shared" si="109"/>
        <v>2018</v>
      </c>
      <c r="U74" s="67">
        <f t="shared" ref="U74:V74" si="110">U3</f>
        <v>2019</v>
      </c>
      <c r="V74" s="67">
        <f t="shared" si="110"/>
        <v>2020</v>
      </c>
      <c r="W74" s="67">
        <f t="shared" ref="W74:X74" si="111">W3</f>
        <v>2021</v>
      </c>
      <c r="X74" s="67">
        <f t="shared" si="111"/>
        <v>2022</v>
      </c>
      <c r="Y74" s="67">
        <f t="shared" ref="Y74:Z74" si="112">Y3</f>
        <v>2023</v>
      </c>
      <c r="Z74" s="67">
        <f t="shared" si="112"/>
        <v>2024</v>
      </c>
      <c r="AD74" t="s">
        <v>386</v>
      </c>
      <c r="AE74">
        <v>1</v>
      </c>
      <c r="AF74">
        <v>982787311.85000002</v>
      </c>
      <c r="AG74">
        <v>-691246188.47000003</v>
      </c>
      <c r="AH74">
        <v>291541123.38</v>
      </c>
      <c r="AI74">
        <v>309977177.86000001</v>
      </c>
      <c r="AJ74" t="s">
        <v>717</v>
      </c>
    </row>
    <row r="75" spans="2:36" x14ac:dyDescent="0.2">
      <c r="B75" s="47"/>
      <c r="C75" s="38"/>
      <c r="D75" s="53" t="s">
        <v>81</v>
      </c>
      <c r="E75" s="48"/>
      <c r="F75" s="49"/>
      <c r="G75" s="49"/>
      <c r="H75" s="164">
        <v>1</v>
      </c>
      <c r="I75" s="50">
        <f t="shared" ref="I75:N75" si="113">I76+I77+I105+I137</f>
        <v>49426</v>
      </c>
      <c r="J75" s="50">
        <f t="shared" si="113"/>
        <v>73665</v>
      </c>
      <c r="K75" s="50">
        <f t="shared" si="113"/>
        <v>87129.921360000008</v>
      </c>
      <c r="L75" s="50">
        <f t="shared" si="113"/>
        <v>89499.517160000003</v>
      </c>
      <c r="M75" s="50">
        <f t="shared" si="113"/>
        <v>101934.29629</v>
      </c>
      <c r="N75" s="51">
        <f t="shared" si="113"/>
        <v>138704.02220000001</v>
      </c>
      <c r="O75" s="51">
        <f t="shared" ref="O75:P75" si="114">O76+O77+O105+O137</f>
        <v>181861.67882</v>
      </c>
      <c r="P75" s="51">
        <f t="shared" si="114"/>
        <v>196712.00930000001</v>
      </c>
      <c r="Q75" s="51">
        <f t="shared" ref="Q75:R75" si="115">Q76+Q77+Q105+Q137</f>
        <v>265014.53330999997</v>
      </c>
      <c r="R75" s="51">
        <f t="shared" si="115"/>
        <v>305846.13731000002</v>
      </c>
      <c r="S75" s="51">
        <f t="shared" ref="S75:T75" si="116">S76+S77+S105+S137</f>
        <v>280447.85970999999</v>
      </c>
      <c r="T75" s="51">
        <f t="shared" si="116"/>
        <v>264514.18481000001</v>
      </c>
      <c r="U75" s="51">
        <f t="shared" ref="U75:V75" si="117">U76+U77+U105+U137</f>
        <v>214822.74925999998</v>
      </c>
      <c r="V75" s="51">
        <f t="shared" si="117"/>
        <v>187804.15964</v>
      </c>
      <c r="W75" s="51">
        <f t="shared" ref="W75:X75" si="118">W76+W77+W105+W137</f>
        <v>318492.73156999995</v>
      </c>
      <c r="X75" s="51">
        <f t="shared" si="118"/>
        <v>310269.47956000007</v>
      </c>
      <c r="Y75" s="51">
        <f t="shared" ref="Y75:Z75" si="119">Y76+Y77+Y105+Y137</f>
        <v>259228.00269999998</v>
      </c>
      <c r="Z75" s="51">
        <f t="shared" si="119"/>
        <v>232312.19462999998</v>
      </c>
      <c r="AC75" t="s">
        <v>2</v>
      </c>
      <c r="AD75" t="s">
        <v>718</v>
      </c>
      <c r="AE75">
        <v>2</v>
      </c>
      <c r="AF75">
        <v>0</v>
      </c>
      <c r="AG75">
        <v>0</v>
      </c>
      <c r="AH75">
        <v>0</v>
      </c>
      <c r="AI75">
        <v>0</v>
      </c>
      <c r="AJ75" t="s">
        <v>719</v>
      </c>
    </row>
    <row r="76" spans="2:36" x14ac:dyDescent="0.2">
      <c r="B76" s="47" t="s">
        <v>2</v>
      </c>
      <c r="C76" s="38"/>
      <c r="D76" s="62" t="s">
        <v>196</v>
      </c>
      <c r="E76" s="49"/>
      <c r="F76" s="49"/>
      <c r="G76" s="49"/>
      <c r="H76" s="164">
        <v>2</v>
      </c>
      <c r="I76" s="50">
        <f>'Vykazy HELIOS'!D76/1000</f>
        <v>0</v>
      </c>
      <c r="J76" s="50">
        <f>'Vykazy HELIOS'!E76/1000</f>
        <v>0</v>
      </c>
      <c r="K76" s="50">
        <f>'Vykazy HELIOS'!F76/1000</f>
        <v>0</v>
      </c>
      <c r="L76" s="50">
        <f>'Vykazy HELIOS'!G76/1000</f>
        <v>0</v>
      </c>
      <c r="M76" s="50">
        <f>'Vykazy HELIOS'!H76/1000</f>
        <v>0</v>
      </c>
      <c r="N76" s="51">
        <f>'Vykazy HELIOS'!I76/1000</f>
        <v>0</v>
      </c>
      <c r="O76" s="51">
        <f>'Vykazy HELIOS'!J76/1000</f>
        <v>0</v>
      </c>
      <c r="P76" s="51">
        <f>'Vykazy HELIOS'!K76/1000</f>
        <v>0</v>
      </c>
      <c r="Q76" s="51">
        <f>'Vykazy HELIOS'!L76/1000</f>
        <v>0</v>
      </c>
      <c r="R76" s="51">
        <f>'Vykazy HELIOS'!M76/1000</f>
        <v>0</v>
      </c>
      <c r="S76" s="51">
        <f>'Vykazy HELIOS'!N76/1000</f>
        <v>0</v>
      </c>
      <c r="T76" s="51">
        <f>'Vykazy HELIOS'!O76/1000</f>
        <v>0</v>
      </c>
      <c r="U76" s="51">
        <f>'Vykazy HELIOS'!P76/1000</f>
        <v>0</v>
      </c>
      <c r="V76" s="51">
        <f>'Vykazy HELIOS'!Q76/1000</f>
        <v>0</v>
      </c>
      <c r="W76" s="51">
        <f>'Vykazy HELIOS'!R76/1000</f>
        <v>0</v>
      </c>
      <c r="X76" s="51">
        <f>'Vykazy HELIOS'!S76/1000</f>
        <v>0</v>
      </c>
      <c r="Y76" s="51">
        <f>'Vykazy HELIOS'!T76/1000</f>
        <v>0</v>
      </c>
      <c r="Z76" s="51">
        <f>'Vykazy HELIOS'!U76/1000</f>
        <v>0</v>
      </c>
      <c r="AC76" t="s">
        <v>10</v>
      </c>
      <c r="AD76" t="s">
        <v>720</v>
      </c>
      <c r="AE76">
        <v>3</v>
      </c>
      <c r="AF76">
        <v>877061447.13999999</v>
      </c>
      <c r="AG76">
        <v>-691117933.11000001</v>
      </c>
      <c r="AH76">
        <v>185943514.03</v>
      </c>
      <c r="AI76">
        <v>203268488.72</v>
      </c>
      <c r="AJ76" t="s">
        <v>721</v>
      </c>
    </row>
    <row r="77" spans="2:36" x14ac:dyDescent="0.2">
      <c r="B77" s="52" t="s">
        <v>10</v>
      </c>
      <c r="C77" s="44"/>
      <c r="D77" s="12" t="s">
        <v>197</v>
      </c>
      <c r="E77" s="53"/>
      <c r="F77" s="53"/>
      <c r="G77" s="53"/>
      <c r="H77" s="165">
        <v>3</v>
      </c>
      <c r="I77" s="54">
        <f t="shared" ref="I77:N77" si="120">I78+I87+I97</f>
        <v>16437</v>
      </c>
      <c r="J77" s="54">
        <f t="shared" si="120"/>
        <v>18039</v>
      </c>
      <c r="K77" s="54">
        <f t="shared" si="120"/>
        <v>21409.645619999999</v>
      </c>
      <c r="L77" s="54">
        <f t="shared" si="120"/>
        <v>20141.425600000002</v>
      </c>
      <c r="M77" s="54">
        <f t="shared" si="120"/>
        <v>30825.502339999999</v>
      </c>
      <c r="N77" s="55">
        <f t="shared" si="120"/>
        <v>65387.091630000003</v>
      </c>
      <c r="O77" s="55">
        <f t="shared" ref="O77:P77" si="121">O78+O87+O97</f>
        <v>97167.931059999988</v>
      </c>
      <c r="P77" s="55">
        <f t="shared" si="121"/>
        <v>119960.07937000001</v>
      </c>
      <c r="Q77" s="55">
        <f t="shared" ref="Q77:R77" si="122">Q78+Q87+Q97</f>
        <v>171711.57339000001</v>
      </c>
      <c r="R77" s="55">
        <f t="shared" si="122"/>
        <v>221407.28242999996</v>
      </c>
      <c r="S77" s="55">
        <f t="shared" ref="S77:T77" si="123">S78+S87+S97</f>
        <v>170244.80771999998</v>
      </c>
      <c r="T77" s="55">
        <f t="shared" si="123"/>
        <v>141996.02020999999</v>
      </c>
      <c r="U77" s="55">
        <f t="shared" ref="U77:V77" si="124">U78+U87+U97</f>
        <v>115761.74337999999</v>
      </c>
      <c r="V77" s="55">
        <f t="shared" si="124"/>
        <v>93392.467910000007</v>
      </c>
      <c r="W77" s="55">
        <f t="shared" ref="W77:X77" si="125">W78+W87+W97</f>
        <v>226229.28076999998</v>
      </c>
      <c r="X77" s="55">
        <f t="shared" si="125"/>
        <v>203268.48872000002</v>
      </c>
      <c r="Y77" s="55">
        <f t="shared" ref="Y77:Z77" si="126">Y78+Y87+Y97</f>
        <v>154079.86515999999</v>
      </c>
      <c r="Z77" s="55">
        <f t="shared" si="126"/>
        <v>157348.87660999998</v>
      </c>
      <c r="AC77" t="s">
        <v>47</v>
      </c>
      <c r="AD77" t="s">
        <v>161</v>
      </c>
      <c r="AE77">
        <v>4</v>
      </c>
      <c r="AF77">
        <v>789374.06</v>
      </c>
      <c r="AG77">
        <v>-789374.06</v>
      </c>
      <c r="AH77">
        <v>0</v>
      </c>
      <c r="AI77">
        <v>0</v>
      </c>
      <c r="AJ77" t="s">
        <v>722</v>
      </c>
    </row>
    <row r="78" spans="2:36" x14ac:dyDescent="0.2">
      <c r="B78" s="52" t="s">
        <v>47</v>
      </c>
      <c r="C78" s="44"/>
      <c r="D78" s="12" t="s">
        <v>161</v>
      </c>
      <c r="E78" s="53"/>
      <c r="F78" s="53"/>
      <c r="G78" s="53"/>
      <c r="H78" s="165">
        <v>4</v>
      </c>
      <c r="I78" s="54">
        <f>SUM(I79:I86)</f>
        <v>0</v>
      </c>
      <c r="J78" s="54">
        <f t="shared" ref="J78:N78" si="127">SUM(J79:J86)</f>
        <v>0</v>
      </c>
      <c r="K78" s="54">
        <f t="shared" si="127"/>
        <v>138.67261999999999</v>
      </c>
      <c r="L78" s="54">
        <f t="shared" si="127"/>
        <v>80.635300000000001</v>
      </c>
      <c r="M78" s="54">
        <f t="shared" si="127"/>
        <v>131.00389999999999</v>
      </c>
      <c r="N78" s="55">
        <f t="shared" si="127"/>
        <v>127.44532000000001</v>
      </c>
      <c r="O78" s="55">
        <f t="shared" ref="O78:P78" si="128">SUM(O79:O86)</f>
        <v>169.37700000000001</v>
      </c>
      <c r="P78" s="55">
        <f t="shared" si="128"/>
        <v>146.4667</v>
      </c>
      <c r="Q78" s="55">
        <f t="shared" ref="Q78:R78" si="129">SUM(Q79:Q86)</f>
        <v>205.327</v>
      </c>
      <c r="R78" s="55">
        <f t="shared" si="129"/>
        <v>107.26974</v>
      </c>
      <c r="S78" s="55">
        <f t="shared" ref="S78:T78" si="130">SUM(S79:S86)</f>
        <v>56.041739999999997</v>
      </c>
      <c r="T78" s="55">
        <f t="shared" si="130"/>
        <v>4.8256399999999999</v>
      </c>
      <c r="U78" s="55">
        <f t="shared" ref="U78:V78" si="131">SUM(U79:U86)</f>
        <v>0</v>
      </c>
      <c r="V78" s="55">
        <f t="shared" si="131"/>
        <v>0</v>
      </c>
      <c r="W78" s="55">
        <f t="shared" ref="W78:X78" si="132">SUM(W79:W86)</f>
        <v>46.808</v>
      </c>
      <c r="X78" s="55">
        <f t="shared" si="132"/>
        <v>0</v>
      </c>
      <c r="Y78" s="55">
        <f t="shared" ref="Y78:Z78" si="133">SUM(Y79:Y86)</f>
        <v>0</v>
      </c>
      <c r="Z78" s="55">
        <f t="shared" si="133"/>
        <v>0</v>
      </c>
      <c r="AC78" t="s">
        <v>723</v>
      </c>
      <c r="AD78" t="s">
        <v>724</v>
      </c>
      <c r="AE78">
        <v>5</v>
      </c>
      <c r="AF78">
        <v>0</v>
      </c>
      <c r="AG78">
        <v>0</v>
      </c>
      <c r="AH78">
        <v>0</v>
      </c>
      <c r="AI78">
        <v>0</v>
      </c>
      <c r="AJ78" t="s">
        <v>725</v>
      </c>
    </row>
    <row r="79" spans="2:36" x14ac:dyDescent="0.2">
      <c r="B79" s="349"/>
      <c r="C79" s="350"/>
      <c r="D79" s="173" t="s">
        <v>390</v>
      </c>
      <c r="E79" s="173" t="s">
        <v>391</v>
      </c>
      <c r="F79" s="173"/>
      <c r="G79" s="173"/>
      <c r="H79" s="181">
        <v>5</v>
      </c>
      <c r="I79" s="173">
        <f>'Vykazy HELIOS'!D79/1000</f>
        <v>0</v>
      </c>
      <c r="J79" s="178">
        <f>'Vykazy HELIOS'!E79/1000</f>
        <v>0</v>
      </c>
      <c r="K79" s="173">
        <f>'Vykazy HELIOS'!F79/1000</f>
        <v>0</v>
      </c>
      <c r="L79" s="178">
        <f>'Vykazy HELIOS'!G79/1000</f>
        <v>0</v>
      </c>
      <c r="M79" s="173">
        <f>'Vykazy HELIOS'!H79/1000</f>
        <v>0</v>
      </c>
      <c r="N79" s="178">
        <f>'Vykazy HELIOS'!I79/1000</f>
        <v>0</v>
      </c>
      <c r="O79" s="178">
        <f>'Vykazy HELIOS'!J79/1000</f>
        <v>0</v>
      </c>
      <c r="P79" s="178">
        <f>'Vykazy HELIOS'!K79/1000</f>
        <v>0</v>
      </c>
      <c r="Q79" s="178">
        <f>'Vykazy HELIOS'!L79/1000</f>
        <v>0</v>
      </c>
      <c r="R79" s="178">
        <f>'Vykazy HELIOS'!M79/1000</f>
        <v>0</v>
      </c>
      <c r="S79" s="178">
        <f>'Vykazy HELIOS'!N79/1000</f>
        <v>0</v>
      </c>
      <c r="T79" s="178">
        <f>'Vykazy HELIOS'!O79/1000</f>
        <v>0</v>
      </c>
      <c r="U79" s="178">
        <f>'Vykazy HELIOS'!P79/1000</f>
        <v>0</v>
      </c>
      <c r="V79" s="178">
        <f>'Vykazy HELIOS'!Q79/1000</f>
        <v>0</v>
      </c>
      <c r="W79" s="178">
        <f>'Vykazy HELIOS'!R79/1000</f>
        <v>0</v>
      </c>
      <c r="X79" s="178">
        <f>'Vykazy HELIOS'!S79/1000</f>
        <v>0</v>
      </c>
      <c r="Y79" s="178">
        <f>'Vykazy HELIOS'!T79/1000</f>
        <v>0</v>
      </c>
      <c r="Z79" s="178">
        <f>'Vykazy HELIOS'!U79/1000</f>
        <v>0</v>
      </c>
      <c r="AC79" t="s">
        <v>726</v>
      </c>
      <c r="AD79" t="s">
        <v>394</v>
      </c>
      <c r="AE79">
        <v>6</v>
      </c>
      <c r="AF79">
        <v>789374.06</v>
      </c>
      <c r="AG79">
        <v>-789374.06</v>
      </c>
      <c r="AH79">
        <v>0</v>
      </c>
      <c r="AI79">
        <v>0</v>
      </c>
      <c r="AJ79" t="s">
        <v>727</v>
      </c>
    </row>
    <row r="80" spans="2:36" x14ac:dyDescent="0.2">
      <c r="B80" s="351"/>
      <c r="C80" s="352"/>
      <c r="D80" t="s">
        <v>51</v>
      </c>
      <c r="E80" t="s">
        <v>392</v>
      </c>
      <c r="H80" s="182">
        <v>6</v>
      </c>
      <c r="I80">
        <f>'Vykazy HELIOS'!D80/1000</f>
        <v>0</v>
      </c>
      <c r="J80" s="179">
        <f>'Vykazy HELIOS'!E80/1000</f>
        <v>0</v>
      </c>
      <c r="K80">
        <f>'Vykazy HELIOS'!F80/1000</f>
        <v>0</v>
      </c>
      <c r="L80" s="179">
        <f>'Vykazy HELIOS'!G80/1000</f>
        <v>0</v>
      </c>
      <c r="M80">
        <f>'Vykazy HELIOS'!H80/1000</f>
        <v>0</v>
      </c>
      <c r="N80" s="179">
        <f>'Vykazy HELIOS'!I80/1000</f>
        <v>0</v>
      </c>
      <c r="O80" s="179">
        <f>'Vykazy HELIOS'!J80/1000</f>
        <v>0</v>
      </c>
      <c r="P80" s="179">
        <f>'Vykazy HELIOS'!K80/1000</f>
        <v>0</v>
      </c>
      <c r="Q80" s="179">
        <f>'Vykazy HELIOS'!L80/1000</f>
        <v>0</v>
      </c>
      <c r="R80" s="179">
        <f>'Vykazy HELIOS'!M80/1000</f>
        <v>0</v>
      </c>
      <c r="S80" s="179">
        <f>'Vykazy HELIOS'!N80/1000</f>
        <v>0</v>
      </c>
      <c r="T80" s="179">
        <f>'Vykazy HELIOS'!O80/1000</f>
        <v>0</v>
      </c>
      <c r="U80" s="179">
        <f>'Vykazy HELIOS'!P80/1000</f>
        <v>0</v>
      </c>
      <c r="V80" s="179">
        <f>'Vykazy HELIOS'!Q80/1000</f>
        <v>0</v>
      </c>
      <c r="W80" s="179">
        <f>'Vykazy HELIOS'!R80/1000</f>
        <v>0</v>
      </c>
      <c r="X80" s="179">
        <f>'Vykazy HELIOS'!S80/1000</f>
        <v>0</v>
      </c>
      <c r="Y80" s="179">
        <f>'Vykazy HELIOS'!T80/1000</f>
        <v>0</v>
      </c>
      <c r="Z80" s="179">
        <f>'Vykazy HELIOS'!U80/1000</f>
        <v>0</v>
      </c>
      <c r="AC80" t="s">
        <v>728</v>
      </c>
      <c r="AD80" t="s">
        <v>393</v>
      </c>
      <c r="AE80">
        <v>7</v>
      </c>
      <c r="AF80">
        <v>789374.06</v>
      </c>
      <c r="AG80">
        <v>-789374.06</v>
      </c>
      <c r="AH80">
        <v>0</v>
      </c>
      <c r="AI80">
        <v>0</v>
      </c>
      <c r="AJ80" t="s">
        <v>393</v>
      </c>
    </row>
    <row r="81" spans="2:36" x14ac:dyDescent="0.2">
      <c r="B81" s="351"/>
      <c r="C81" s="352"/>
      <c r="D81" t="s">
        <v>52</v>
      </c>
      <c r="E81" t="s">
        <v>393</v>
      </c>
      <c r="H81" s="182">
        <v>7</v>
      </c>
      <c r="I81">
        <f>'Vykazy HELIOS'!D81/1000</f>
        <v>0</v>
      </c>
      <c r="J81" s="179">
        <f>'Vykazy HELIOS'!E81/1000</f>
        <v>0</v>
      </c>
      <c r="K81">
        <f>'Vykazy HELIOS'!F81/1000</f>
        <v>138.67261999999999</v>
      </c>
      <c r="L81" s="179">
        <f>'Vykazy HELIOS'!G81/1000</f>
        <v>80.635300000000001</v>
      </c>
      <c r="M81">
        <f>'Vykazy HELIOS'!H81/1000</f>
        <v>131.00389999999999</v>
      </c>
      <c r="N81" s="179">
        <f>'Vykazy HELIOS'!I81/1000</f>
        <v>56.957320000000003</v>
      </c>
      <c r="O81" s="179">
        <f>'Vykazy HELIOS'!J81/1000</f>
        <v>169.37700000000001</v>
      </c>
      <c r="P81" s="179">
        <f>'Vykazy HELIOS'!K81/1000</f>
        <v>87.933000000000007</v>
      </c>
      <c r="Q81" s="179">
        <f>'Vykazy HELIOS'!L81/1000</f>
        <v>111.55025000000001</v>
      </c>
      <c r="R81" s="179">
        <f>'Vykazy HELIOS'!M81/1000</f>
        <v>107.26974</v>
      </c>
      <c r="S81" s="179">
        <f>'Vykazy HELIOS'!N81/1000</f>
        <v>56.041739999999997</v>
      </c>
      <c r="T81" s="179">
        <f>'Vykazy HELIOS'!O81/1000</f>
        <v>4.8256399999999999</v>
      </c>
      <c r="U81" s="179">
        <f>'Vykazy HELIOS'!P81/1000</f>
        <v>0</v>
      </c>
      <c r="V81" s="179">
        <f>'Vykazy HELIOS'!Q81/1000</f>
        <v>0</v>
      </c>
      <c r="W81" s="179">
        <f>'Vykazy HELIOS'!R81/1000</f>
        <v>46.808</v>
      </c>
      <c r="X81" s="179">
        <f>'Vykazy HELIOS'!S81/1000</f>
        <v>0</v>
      </c>
      <c r="Y81" s="179">
        <f>'Vykazy HELIOS'!T81/1000</f>
        <v>0</v>
      </c>
      <c r="Z81" s="179">
        <f>'Vykazy HELIOS'!U81/1000</f>
        <v>0</v>
      </c>
      <c r="AC81" t="s">
        <v>729</v>
      </c>
      <c r="AD81" t="s">
        <v>730</v>
      </c>
      <c r="AE81">
        <v>8</v>
      </c>
      <c r="AF81">
        <v>0</v>
      </c>
      <c r="AG81">
        <v>0</v>
      </c>
      <c r="AH81">
        <v>0</v>
      </c>
      <c r="AI81">
        <v>0</v>
      </c>
      <c r="AJ81" t="s">
        <v>731</v>
      </c>
    </row>
    <row r="82" spans="2:36" x14ac:dyDescent="0.2">
      <c r="B82" s="351"/>
      <c r="C82" s="352"/>
      <c r="D82" t="s">
        <v>54</v>
      </c>
      <c r="E82" t="s">
        <v>394</v>
      </c>
      <c r="H82" s="182">
        <v>8</v>
      </c>
      <c r="I82">
        <f>'Vykazy HELIOS'!D82/1000</f>
        <v>0</v>
      </c>
      <c r="J82" s="179">
        <f>'Vykazy HELIOS'!E82/1000</f>
        <v>0</v>
      </c>
      <c r="K82">
        <f>'Vykazy HELIOS'!F82/1000</f>
        <v>0</v>
      </c>
      <c r="L82" s="179">
        <f>'Vykazy HELIOS'!G82/1000</f>
        <v>0</v>
      </c>
      <c r="M82">
        <f>'Vykazy HELIOS'!H82/1000</f>
        <v>0</v>
      </c>
      <c r="N82" s="179">
        <f>'Vykazy HELIOS'!I82/1000</f>
        <v>0</v>
      </c>
      <c r="O82" s="179">
        <f>'Vykazy HELIOS'!J82/1000</f>
        <v>0</v>
      </c>
      <c r="P82" s="179">
        <f>'Vykazy HELIOS'!K82/1000</f>
        <v>0</v>
      </c>
      <c r="Q82" s="179">
        <f>'Vykazy HELIOS'!L82/1000</f>
        <v>0</v>
      </c>
      <c r="R82" s="179">
        <f>'Vykazy HELIOS'!M82/1000</f>
        <v>0</v>
      </c>
      <c r="S82" s="179">
        <f>'Vykazy HELIOS'!N82/1000</f>
        <v>0</v>
      </c>
      <c r="T82" s="179">
        <f>'Vykazy HELIOS'!O82/1000</f>
        <v>0</v>
      </c>
      <c r="U82" s="179">
        <f>'Vykazy HELIOS'!P82/1000</f>
        <v>0</v>
      </c>
      <c r="V82" s="179">
        <f>'Vykazy HELIOS'!Q82/1000</f>
        <v>0</v>
      </c>
      <c r="W82" s="179">
        <f>'Vykazy HELIOS'!R82/1000</f>
        <v>0</v>
      </c>
      <c r="X82" s="179">
        <f>'Vykazy HELIOS'!S82/1000</f>
        <v>0</v>
      </c>
      <c r="Y82" s="179">
        <f>'Vykazy HELIOS'!T82/1000</f>
        <v>0</v>
      </c>
      <c r="Z82" s="179">
        <f>'Vykazy HELIOS'!U82/1000</f>
        <v>0</v>
      </c>
      <c r="AC82" t="s">
        <v>732</v>
      </c>
      <c r="AD82" t="s">
        <v>395</v>
      </c>
      <c r="AE82">
        <v>9</v>
      </c>
      <c r="AF82">
        <v>0</v>
      </c>
      <c r="AG82">
        <v>0</v>
      </c>
      <c r="AH82">
        <v>0</v>
      </c>
      <c r="AI82">
        <v>0</v>
      </c>
      <c r="AJ82" t="s">
        <v>395</v>
      </c>
    </row>
    <row r="83" spans="2:36" x14ac:dyDescent="0.2">
      <c r="B83" s="351"/>
      <c r="C83" s="352"/>
      <c r="D83" t="s">
        <v>56</v>
      </c>
      <c r="E83" t="s">
        <v>395</v>
      </c>
      <c r="H83" s="182">
        <v>9</v>
      </c>
      <c r="I83">
        <f>'Vykazy HELIOS'!D83/1000</f>
        <v>0</v>
      </c>
      <c r="J83" s="179">
        <f>'Vykazy HELIOS'!E83/1000</f>
        <v>0</v>
      </c>
      <c r="K83">
        <f>'Vykazy HELIOS'!F83/1000</f>
        <v>0</v>
      </c>
      <c r="L83" s="179">
        <f>'Vykazy HELIOS'!G83/1000</f>
        <v>0</v>
      </c>
      <c r="M83">
        <f>'Vykazy HELIOS'!H83/1000</f>
        <v>0</v>
      </c>
      <c r="N83" s="179">
        <f>'Vykazy HELIOS'!I83/1000</f>
        <v>0</v>
      </c>
      <c r="O83" s="179">
        <f>'Vykazy HELIOS'!J83/1000</f>
        <v>0</v>
      </c>
      <c r="P83" s="179">
        <f>'Vykazy HELIOS'!K83/1000</f>
        <v>0</v>
      </c>
      <c r="Q83" s="179">
        <f>'Vykazy HELIOS'!L83/1000</f>
        <v>0</v>
      </c>
      <c r="R83" s="179">
        <f>'Vykazy HELIOS'!M83/1000</f>
        <v>0</v>
      </c>
      <c r="S83" s="179">
        <f>'Vykazy HELIOS'!N83/1000</f>
        <v>0</v>
      </c>
      <c r="T83" s="179">
        <f>'Vykazy HELIOS'!O83/1000</f>
        <v>0</v>
      </c>
      <c r="U83" s="179">
        <f>'Vykazy HELIOS'!P83/1000</f>
        <v>0</v>
      </c>
      <c r="V83" s="179">
        <f>'Vykazy HELIOS'!Q83/1000</f>
        <v>0</v>
      </c>
      <c r="W83" s="179">
        <f>'Vykazy HELIOS'!R83/1000</f>
        <v>0</v>
      </c>
      <c r="X83" s="179">
        <f>'Vykazy HELIOS'!S83/1000</f>
        <v>0</v>
      </c>
      <c r="Y83" s="179">
        <f>'Vykazy HELIOS'!T83/1000</f>
        <v>0</v>
      </c>
      <c r="Z83" s="179">
        <f>'Vykazy HELIOS'!U83/1000</f>
        <v>0</v>
      </c>
      <c r="AC83" t="s">
        <v>733</v>
      </c>
      <c r="AD83" t="s">
        <v>734</v>
      </c>
      <c r="AE83">
        <v>10</v>
      </c>
      <c r="AF83">
        <v>0</v>
      </c>
      <c r="AG83">
        <v>0</v>
      </c>
      <c r="AH83">
        <v>0</v>
      </c>
      <c r="AI83">
        <v>0</v>
      </c>
      <c r="AJ83" t="s">
        <v>735</v>
      </c>
    </row>
    <row r="84" spans="2:36" x14ac:dyDescent="0.2">
      <c r="B84" s="351"/>
      <c r="C84" s="352"/>
      <c r="D84" t="s">
        <v>279</v>
      </c>
      <c r="E84" t="s">
        <v>396</v>
      </c>
      <c r="H84" s="182">
        <v>10</v>
      </c>
      <c r="I84">
        <f>'Vykazy HELIOS'!D84/1000</f>
        <v>0</v>
      </c>
      <c r="J84" s="179">
        <f>'Vykazy HELIOS'!E84/1000</f>
        <v>0</v>
      </c>
      <c r="K84">
        <f>'Vykazy HELIOS'!F84/1000</f>
        <v>0</v>
      </c>
      <c r="L84" s="179">
        <f>'Vykazy HELIOS'!G84/1000</f>
        <v>0</v>
      </c>
      <c r="M84">
        <f>'Vykazy HELIOS'!H84/1000</f>
        <v>0</v>
      </c>
      <c r="N84" s="179">
        <f>'Vykazy HELIOS'!I84/1000</f>
        <v>0</v>
      </c>
      <c r="O84" s="179">
        <f>'Vykazy HELIOS'!J84/1000</f>
        <v>0</v>
      </c>
      <c r="P84" s="179">
        <f>'Vykazy HELIOS'!K84/1000</f>
        <v>0</v>
      </c>
      <c r="Q84" s="179">
        <f>'Vykazy HELIOS'!L84/1000</f>
        <v>0</v>
      </c>
      <c r="R84" s="179">
        <f>'Vykazy HELIOS'!M84/1000</f>
        <v>0</v>
      </c>
      <c r="S84" s="179">
        <f>'Vykazy HELIOS'!N84/1000</f>
        <v>0</v>
      </c>
      <c r="T84" s="179">
        <f>'Vykazy HELIOS'!O84/1000</f>
        <v>0</v>
      </c>
      <c r="U84" s="179">
        <f>'Vykazy HELIOS'!P84/1000</f>
        <v>0</v>
      </c>
      <c r="V84" s="179">
        <f>'Vykazy HELIOS'!Q84/1000</f>
        <v>0</v>
      </c>
      <c r="W84" s="179">
        <f>'Vykazy HELIOS'!R84/1000</f>
        <v>0</v>
      </c>
      <c r="X84" s="179">
        <f>'Vykazy HELIOS'!S84/1000</f>
        <v>0</v>
      </c>
      <c r="Y84" s="179">
        <f>'Vykazy HELIOS'!T84/1000</f>
        <v>0</v>
      </c>
      <c r="Z84" s="179">
        <f>'Vykazy HELIOS'!U84/1000</f>
        <v>0</v>
      </c>
      <c r="AC84" t="s">
        <v>736</v>
      </c>
      <c r="AD84" t="s">
        <v>737</v>
      </c>
      <c r="AE84">
        <v>11</v>
      </c>
      <c r="AF84">
        <v>0</v>
      </c>
      <c r="AG84">
        <v>0</v>
      </c>
      <c r="AH84">
        <v>0</v>
      </c>
      <c r="AI84">
        <v>0</v>
      </c>
      <c r="AJ84" t="s">
        <v>738</v>
      </c>
    </row>
    <row r="85" spans="2:36" x14ac:dyDescent="0.2">
      <c r="B85" s="351"/>
      <c r="C85" s="352"/>
      <c r="D85" t="s">
        <v>58</v>
      </c>
      <c r="E85" t="s">
        <v>397</v>
      </c>
      <c r="H85" s="182">
        <v>11</v>
      </c>
      <c r="I85">
        <f>'Vykazy HELIOS'!D85/1000</f>
        <v>0</v>
      </c>
      <c r="J85" s="179">
        <f>'Vykazy HELIOS'!E85/1000</f>
        <v>0</v>
      </c>
      <c r="K85">
        <f>'Vykazy HELIOS'!F85/1000</f>
        <v>0</v>
      </c>
      <c r="L85" s="179">
        <f>'Vykazy HELIOS'!G85/1000</f>
        <v>0</v>
      </c>
      <c r="M85">
        <f>'Vykazy HELIOS'!H85/1000</f>
        <v>0</v>
      </c>
      <c r="N85" s="179">
        <f>'Vykazy HELIOS'!I85/1000</f>
        <v>70.488</v>
      </c>
      <c r="O85" s="179">
        <f>'Vykazy HELIOS'!J85/1000</f>
        <v>0</v>
      </c>
      <c r="P85" s="179">
        <f>'Vykazy HELIOS'!K85/1000</f>
        <v>58.533699999999996</v>
      </c>
      <c r="Q85" s="179">
        <f>'Vykazy HELIOS'!L85/1000</f>
        <v>93.776750000000007</v>
      </c>
      <c r="R85" s="179">
        <f>'Vykazy HELIOS'!M85/1000</f>
        <v>0</v>
      </c>
      <c r="S85" s="179">
        <f>'Vykazy HELIOS'!N85/1000</f>
        <v>0</v>
      </c>
      <c r="T85" s="179">
        <f>'Vykazy HELIOS'!O85/1000</f>
        <v>0</v>
      </c>
      <c r="U85" s="179">
        <f>'Vykazy HELIOS'!P85/1000</f>
        <v>0</v>
      </c>
      <c r="V85" s="179">
        <f>'Vykazy HELIOS'!Q85/1000</f>
        <v>0</v>
      </c>
      <c r="W85" s="179">
        <f>'Vykazy HELIOS'!R85/1000</f>
        <v>0</v>
      </c>
      <c r="X85" s="179">
        <f>'Vykazy HELIOS'!S85/1000</f>
        <v>0</v>
      </c>
      <c r="Y85" s="179">
        <f>'Vykazy HELIOS'!T85/1000</f>
        <v>0</v>
      </c>
      <c r="Z85" s="179">
        <f>'Vykazy HELIOS'!U85/1000</f>
        <v>0</v>
      </c>
      <c r="AC85" t="s">
        <v>739</v>
      </c>
      <c r="AD85" t="s">
        <v>399</v>
      </c>
      <c r="AE85">
        <v>12</v>
      </c>
      <c r="AF85">
        <v>0</v>
      </c>
      <c r="AG85">
        <v>0</v>
      </c>
      <c r="AH85">
        <v>0</v>
      </c>
      <c r="AI85">
        <v>0</v>
      </c>
      <c r="AJ85" t="s">
        <v>740</v>
      </c>
    </row>
    <row r="86" spans="2:36" x14ac:dyDescent="0.2">
      <c r="B86" s="353"/>
      <c r="C86" s="354"/>
      <c r="D86" t="s">
        <v>398</v>
      </c>
      <c r="E86" t="s">
        <v>399</v>
      </c>
      <c r="H86" s="182">
        <v>12</v>
      </c>
      <c r="I86">
        <f>'Vykazy HELIOS'!D86/1000</f>
        <v>0</v>
      </c>
      <c r="J86" s="179">
        <f>'Vykazy HELIOS'!E86/1000</f>
        <v>0</v>
      </c>
      <c r="K86">
        <f>'Vykazy HELIOS'!F86/1000</f>
        <v>0</v>
      </c>
      <c r="L86" s="179">
        <f>'Vykazy HELIOS'!G86/1000</f>
        <v>0</v>
      </c>
      <c r="M86">
        <f>'Vykazy HELIOS'!H86/1000</f>
        <v>0</v>
      </c>
      <c r="N86" s="179">
        <f>'Vykazy HELIOS'!I86/1000</f>
        <v>0</v>
      </c>
      <c r="O86" s="179">
        <f>'Vykazy HELIOS'!J86/1000</f>
        <v>0</v>
      </c>
      <c r="P86" s="179">
        <f>'Vykazy HELIOS'!K86/1000</f>
        <v>0</v>
      </c>
      <c r="Q86" s="179">
        <f>'Vykazy HELIOS'!L86/1000</f>
        <v>0</v>
      </c>
      <c r="R86" s="179">
        <f>'Vykazy HELIOS'!M86/1000</f>
        <v>0</v>
      </c>
      <c r="S86" s="179">
        <f>'Vykazy HELIOS'!N86/1000</f>
        <v>0</v>
      </c>
      <c r="T86" s="179">
        <f>'Vykazy HELIOS'!O86/1000</f>
        <v>0</v>
      </c>
      <c r="U86" s="179">
        <f>'Vykazy HELIOS'!P86/1000</f>
        <v>0</v>
      </c>
      <c r="V86" s="179">
        <f>'Vykazy HELIOS'!Q86/1000</f>
        <v>0</v>
      </c>
      <c r="W86" s="179">
        <f>'Vykazy HELIOS'!R86/1000</f>
        <v>0</v>
      </c>
      <c r="X86" s="179">
        <f>'Vykazy HELIOS'!S86/1000</f>
        <v>0</v>
      </c>
      <c r="Y86" s="179">
        <f>'Vykazy HELIOS'!T86/1000</f>
        <v>0</v>
      </c>
      <c r="Z86" s="179">
        <f>'Vykazy HELIOS'!U86/1000</f>
        <v>0</v>
      </c>
      <c r="AC86" t="s">
        <v>741</v>
      </c>
      <c r="AD86" t="s">
        <v>397</v>
      </c>
      <c r="AE86">
        <v>13</v>
      </c>
      <c r="AF86">
        <v>0</v>
      </c>
      <c r="AG86">
        <v>0</v>
      </c>
      <c r="AH86">
        <v>0</v>
      </c>
      <c r="AI86">
        <v>0</v>
      </c>
      <c r="AJ86" t="s">
        <v>742</v>
      </c>
    </row>
    <row r="87" spans="2:36" x14ac:dyDescent="0.2">
      <c r="B87" s="52" t="s">
        <v>48</v>
      </c>
      <c r="C87" s="44"/>
      <c r="D87" s="56" t="s">
        <v>198</v>
      </c>
      <c r="E87" s="53"/>
      <c r="F87" s="53"/>
      <c r="G87" s="53"/>
      <c r="H87" s="165">
        <v>13</v>
      </c>
      <c r="I87" s="54">
        <f t="shared" ref="I87:N87" si="134">SUM(I88:I96)</f>
        <v>16437</v>
      </c>
      <c r="J87" s="54">
        <f t="shared" si="134"/>
        <v>18039</v>
      </c>
      <c r="K87" s="54">
        <f t="shared" si="134"/>
        <v>21270.972999999998</v>
      </c>
      <c r="L87" s="54">
        <f t="shared" si="134"/>
        <v>20060.790300000001</v>
      </c>
      <c r="M87" s="54">
        <f t="shared" si="134"/>
        <v>30694.498439999999</v>
      </c>
      <c r="N87" s="55">
        <f t="shared" si="134"/>
        <v>65259.646310000004</v>
      </c>
      <c r="O87" s="55">
        <f t="shared" ref="O87:P87" si="135">SUM(O88:O96)</f>
        <v>96998.554059999995</v>
      </c>
      <c r="P87" s="55">
        <f t="shared" si="135"/>
        <v>119813.61267</v>
      </c>
      <c r="Q87" s="55">
        <f t="shared" ref="Q87:R87" si="136">SUM(Q88:Q96)</f>
        <v>171506.24639000001</v>
      </c>
      <c r="R87" s="55">
        <f t="shared" si="136"/>
        <v>221300.01268999997</v>
      </c>
      <c r="S87" s="55">
        <f t="shared" ref="S87:T87" si="137">SUM(S88:S96)</f>
        <v>170188.76598</v>
      </c>
      <c r="T87" s="55">
        <f t="shared" si="137"/>
        <v>141991.19456999999</v>
      </c>
      <c r="U87" s="55">
        <f t="shared" ref="U87:V87" si="138">SUM(U88:U96)</f>
        <v>115761.74337999999</v>
      </c>
      <c r="V87" s="55">
        <f t="shared" si="138"/>
        <v>93392.467910000007</v>
      </c>
      <c r="W87" s="55">
        <f t="shared" ref="W87:X87" si="139">SUM(W88:W96)</f>
        <v>226182.47276999999</v>
      </c>
      <c r="X87" s="55">
        <f t="shared" si="139"/>
        <v>203268.48872000002</v>
      </c>
      <c r="Y87" s="55">
        <f t="shared" ref="Y87:Z87" si="140">SUM(Y88:Y96)</f>
        <v>154079.86515999999</v>
      </c>
      <c r="Z87" s="55">
        <f t="shared" si="140"/>
        <v>157348.87660999998</v>
      </c>
      <c r="AC87" t="s">
        <v>48</v>
      </c>
      <c r="AD87" t="s">
        <v>198</v>
      </c>
      <c r="AE87">
        <v>14</v>
      </c>
      <c r="AF87">
        <v>876272073.08000004</v>
      </c>
      <c r="AG87">
        <v>-690328559.04999995</v>
      </c>
      <c r="AH87">
        <v>185943514.03</v>
      </c>
      <c r="AI87">
        <v>203268488.72</v>
      </c>
      <c r="AJ87" t="s">
        <v>743</v>
      </c>
    </row>
    <row r="88" spans="2:36" x14ac:dyDescent="0.2">
      <c r="B88" s="31" t="s">
        <v>48</v>
      </c>
      <c r="D88" s="203" t="s">
        <v>49</v>
      </c>
      <c r="E88" s="121" t="s">
        <v>50</v>
      </c>
      <c r="F88" s="194"/>
      <c r="G88" s="122"/>
      <c r="H88" s="166">
        <v>14</v>
      </c>
      <c r="I88" s="104">
        <f>'Vykazy HELIOS'!D88/1000</f>
        <v>2805</v>
      </c>
      <c r="J88" s="104">
        <f>'Vykazy HELIOS'!E88/1000</f>
        <v>2805</v>
      </c>
      <c r="K88" s="104">
        <f>'Vykazy HELIOS'!F88/1000</f>
        <v>2805.2649999999999</v>
      </c>
      <c r="L88" s="104">
        <f>'Vykazy HELIOS'!G88/1000</f>
        <v>2805.2649999999999</v>
      </c>
      <c r="M88" s="104">
        <f>'Vykazy HELIOS'!H88/1000</f>
        <v>2805.2649999999999</v>
      </c>
      <c r="N88" s="123">
        <f>'Vykazy HELIOS'!I88/1000</f>
        <v>2805.2649999999999</v>
      </c>
      <c r="O88" s="123">
        <f>'Vykazy HELIOS'!J88/1000</f>
        <v>2805.2649999999999</v>
      </c>
      <c r="P88" s="123">
        <f>'Vykazy HELIOS'!K88/1000</f>
        <v>2805.2649999999999</v>
      </c>
      <c r="Q88" s="123">
        <f>'Vykazy HELIOS'!L88/1000</f>
        <v>2805.2649999999999</v>
      </c>
      <c r="R88" s="123">
        <f>'Vykazy HELIOS'!M88/1000</f>
        <v>10321.1482</v>
      </c>
      <c r="S88" s="123">
        <f>'Vykazy HELIOS'!N88/1000</f>
        <v>20145.872950000001</v>
      </c>
      <c r="T88" s="123">
        <f>'Vykazy HELIOS'!O88/1000</f>
        <v>20145.872950000001</v>
      </c>
      <c r="U88" s="123">
        <f>'Vykazy HELIOS'!P88/1000</f>
        <v>20145.872950000001</v>
      </c>
      <c r="V88" s="123">
        <f>'Vykazy HELIOS'!Q88/1000</f>
        <v>20145.872950000001</v>
      </c>
      <c r="W88" s="123">
        <f>'Vykazy HELIOS'!R88/1000</f>
        <v>20145.872950000001</v>
      </c>
      <c r="X88" s="123">
        <f>'Vykazy HELIOS'!S88/1000</f>
        <v>20145.872950000001</v>
      </c>
      <c r="Y88" s="123">
        <f>'Vykazy HELIOS'!T88/1000</f>
        <v>20145.872950000001</v>
      </c>
      <c r="Z88" s="123">
        <f>'Vykazy HELIOS'!U88/1000</f>
        <v>20145.872950000001</v>
      </c>
      <c r="AC88" t="s">
        <v>744</v>
      </c>
      <c r="AD88" t="s">
        <v>745</v>
      </c>
      <c r="AE88">
        <v>15</v>
      </c>
      <c r="AF88">
        <v>36314252.170000002</v>
      </c>
      <c r="AG88">
        <v>-10718019</v>
      </c>
      <c r="AH88">
        <v>25596233.170000002</v>
      </c>
      <c r="AI88">
        <v>26113531.170000002</v>
      </c>
      <c r="AJ88" t="s">
        <v>746</v>
      </c>
    </row>
    <row r="89" spans="2:36" x14ac:dyDescent="0.2">
      <c r="B89" s="116"/>
      <c r="D89" s="204" t="s">
        <v>51</v>
      </c>
      <c r="E89" s="210" t="s">
        <v>199</v>
      </c>
      <c r="F89" s="196"/>
      <c r="G89" s="72"/>
      <c r="H89" s="167">
        <v>15</v>
      </c>
      <c r="I89" s="114">
        <f>'Vykazy HELIOS'!D89/1000</f>
        <v>9750</v>
      </c>
      <c r="J89" s="114">
        <f>'Vykazy HELIOS'!E89/1000</f>
        <v>8822</v>
      </c>
      <c r="K89" s="114">
        <f>'Vykazy HELIOS'!F89/1000</f>
        <v>8275.9519999999993</v>
      </c>
      <c r="L89" s="114">
        <f>'Vykazy HELIOS'!G89/1000</f>
        <v>7855.9319999999998</v>
      </c>
      <c r="M89" s="114">
        <f>'Vykazy HELIOS'!H89/1000</f>
        <v>7341.2659999999996</v>
      </c>
      <c r="N89" s="128">
        <f>'Vykazy HELIOS'!I89/1000</f>
        <v>6845.549</v>
      </c>
      <c r="O89" s="128">
        <f>'Vykazy HELIOS'!J89/1000</f>
        <v>6641.2574199999999</v>
      </c>
      <c r="P89" s="128">
        <f>'Vykazy HELIOS'!K89/1000</f>
        <v>6358.32042</v>
      </c>
      <c r="Q89" s="128">
        <f>'Vykazy HELIOS'!L89/1000</f>
        <v>5992.3034200000002</v>
      </c>
      <c r="R89" s="128">
        <f>'Vykazy HELIOS'!M89/1000</f>
        <v>8167.8369199999997</v>
      </c>
      <c r="S89" s="128">
        <f>'Vykazy HELIOS'!N89/1000</f>
        <v>9030.7899199999993</v>
      </c>
      <c r="T89" s="128">
        <f>'Vykazy HELIOS'!O89/1000</f>
        <v>8318.3532199999991</v>
      </c>
      <c r="U89" s="128">
        <f>'Vykazy HELIOS'!P89/1000</f>
        <v>7688.45622</v>
      </c>
      <c r="V89" s="128">
        <f>'Vykazy HELIOS'!Q89/1000</f>
        <v>7086.7102199999999</v>
      </c>
      <c r="W89" s="128">
        <f>'Vykazy HELIOS'!R89/1000</f>
        <v>6513.1092199999994</v>
      </c>
      <c r="X89" s="128">
        <f>'Vykazy HELIOS'!S89/1000</f>
        <v>5967.6582199999993</v>
      </c>
      <c r="Y89" s="128">
        <f>'Vykazy HELIOS'!T89/1000</f>
        <v>5450.3602199999996</v>
      </c>
      <c r="Z89" s="128">
        <f>'Vykazy HELIOS'!U89/1000</f>
        <v>5085.2072199999993</v>
      </c>
      <c r="AC89" t="s">
        <v>747</v>
      </c>
      <c r="AD89" t="s">
        <v>50</v>
      </c>
      <c r="AE89">
        <v>16</v>
      </c>
      <c r="AF89">
        <v>20145872.949999999</v>
      </c>
      <c r="AG89">
        <v>0</v>
      </c>
      <c r="AH89">
        <v>20145872.949999999</v>
      </c>
      <c r="AI89">
        <v>20145872.949999999</v>
      </c>
      <c r="AJ89" t="s">
        <v>748</v>
      </c>
    </row>
    <row r="90" spans="2:36" x14ac:dyDescent="0.2">
      <c r="B90" s="116"/>
      <c r="D90" s="204" t="s">
        <v>52</v>
      </c>
      <c r="E90" s="210" t="s">
        <v>53</v>
      </c>
      <c r="F90" s="196"/>
      <c r="G90" s="72"/>
      <c r="H90" s="167">
        <v>16</v>
      </c>
      <c r="I90" s="114">
        <f>'Vykazy HELIOS'!D90/1000</f>
        <v>3882</v>
      </c>
      <c r="J90" s="114">
        <f>'Vykazy HELIOS'!E90/1000</f>
        <v>6258</v>
      </c>
      <c r="K90" s="114">
        <f>'Vykazy HELIOS'!F90/1000</f>
        <v>10185.755999999999</v>
      </c>
      <c r="L90" s="114">
        <f>'Vykazy HELIOS'!G90/1000</f>
        <v>9395.5933000000005</v>
      </c>
      <c r="M90" s="114">
        <f>'Vykazy HELIOS'!H90/1000</f>
        <v>20543.96744</v>
      </c>
      <c r="N90" s="128">
        <f>'Vykazy HELIOS'!I90/1000</f>
        <v>55608.832310000005</v>
      </c>
      <c r="O90" s="128">
        <f>'Vykazy HELIOS'!J90/1000</f>
        <v>87552.031640000001</v>
      </c>
      <c r="P90" s="128">
        <f>'Vykazy HELIOS'!K90/1000</f>
        <v>87499.652249999999</v>
      </c>
      <c r="Q90" s="128">
        <f>'Vykazy HELIOS'!L90/1000</f>
        <v>145358.15127</v>
      </c>
      <c r="R90" s="128">
        <f>'Vykazy HELIOS'!M90/1000</f>
        <v>179028.62756999998</v>
      </c>
      <c r="S90" s="128">
        <f>'Vykazy HELIOS'!N90/1000</f>
        <v>139533.73809</v>
      </c>
      <c r="T90" s="128">
        <f>'Vykazy HELIOS'!O90/1000</f>
        <v>108167.4219</v>
      </c>
      <c r="U90" s="128">
        <f>'Vykazy HELIOS'!P90/1000</f>
        <v>87927.414209999988</v>
      </c>
      <c r="V90" s="128">
        <f>'Vykazy HELIOS'!Q90/1000</f>
        <v>66159.884740000009</v>
      </c>
      <c r="W90" s="128">
        <f>'Vykazy HELIOS'!R90/1000</f>
        <v>182523.91259999998</v>
      </c>
      <c r="X90" s="128">
        <f>'Vykazy HELIOS'!S90/1000</f>
        <v>177154.95755000002</v>
      </c>
      <c r="Y90" s="128">
        <f>'Vykazy HELIOS'!T90/1000</f>
        <v>127210.29449</v>
      </c>
      <c r="Z90" s="128">
        <f>'Vykazy HELIOS'!U90/1000</f>
        <v>128481.07244</v>
      </c>
      <c r="AC90" t="s">
        <v>749</v>
      </c>
      <c r="AD90" t="s">
        <v>199</v>
      </c>
      <c r="AE90">
        <v>17</v>
      </c>
      <c r="AF90">
        <v>16168379.220000001</v>
      </c>
      <c r="AG90">
        <v>-10718019</v>
      </c>
      <c r="AH90">
        <v>5450360.2199999997</v>
      </c>
      <c r="AI90">
        <v>5967658.2199999997</v>
      </c>
      <c r="AJ90" t="s">
        <v>750</v>
      </c>
    </row>
    <row r="91" spans="2:36" x14ac:dyDescent="0.2">
      <c r="B91" s="116"/>
      <c r="D91" s="204" t="s">
        <v>54</v>
      </c>
      <c r="E91" s="210" t="s">
        <v>55</v>
      </c>
      <c r="F91" s="196"/>
      <c r="G91" s="72"/>
      <c r="H91" s="167">
        <v>17</v>
      </c>
      <c r="I91" s="114">
        <f>'Vykazy HELIOS'!D91/1000</f>
        <v>0</v>
      </c>
      <c r="J91" s="114">
        <f>'Vykazy HELIOS'!E91/1000</f>
        <v>0</v>
      </c>
      <c r="K91" s="114">
        <f>'Vykazy HELIOS'!F91/1000</f>
        <v>0</v>
      </c>
      <c r="L91" s="114">
        <f>'Vykazy HELIOS'!G91/1000</f>
        <v>0</v>
      </c>
      <c r="M91" s="114">
        <f>'Vykazy HELIOS'!H91/1000</f>
        <v>0</v>
      </c>
      <c r="N91" s="128">
        <f>'Vykazy HELIOS'!I91/1000</f>
        <v>0</v>
      </c>
      <c r="O91" s="128">
        <f>'Vykazy HELIOS'!J91/1000</f>
        <v>0</v>
      </c>
      <c r="P91" s="128">
        <f>'Vykazy HELIOS'!K91/1000</f>
        <v>0</v>
      </c>
      <c r="Q91" s="128">
        <f>'Vykazy HELIOS'!L91/1000</f>
        <v>0</v>
      </c>
      <c r="R91" s="128">
        <f>'Vykazy HELIOS'!M91/1000</f>
        <v>0</v>
      </c>
      <c r="S91" s="128">
        <f>'Vykazy HELIOS'!N91/1000</f>
        <v>0</v>
      </c>
      <c r="T91" s="128">
        <f>'Vykazy HELIOS'!O91/1000</f>
        <v>0</v>
      </c>
      <c r="U91" s="128">
        <f>'Vykazy HELIOS'!P91/1000</f>
        <v>0</v>
      </c>
      <c r="V91" s="128">
        <f>'Vykazy HELIOS'!Q91/1000</f>
        <v>0</v>
      </c>
      <c r="W91" s="128">
        <f>'Vykazy HELIOS'!R91/1000</f>
        <v>0</v>
      </c>
      <c r="X91" s="128">
        <f>'Vykazy HELIOS'!S91/1000</f>
        <v>0</v>
      </c>
      <c r="Y91" s="128">
        <f>'Vykazy HELIOS'!T91/1000</f>
        <v>0</v>
      </c>
      <c r="Z91" s="128">
        <f>'Vykazy HELIOS'!U91/1000</f>
        <v>0</v>
      </c>
      <c r="AC91" t="s">
        <v>751</v>
      </c>
      <c r="AD91" t="s">
        <v>752</v>
      </c>
      <c r="AE91">
        <v>18</v>
      </c>
      <c r="AF91">
        <v>838698421.53999996</v>
      </c>
      <c r="AG91">
        <v>-679610540.04999995</v>
      </c>
      <c r="AH91">
        <v>159087881.49000001</v>
      </c>
      <c r="AI91">
        <v>177154957.55000001</v>
      </c>
      <c r="AJ91" t="s">
        <v>753</v>
      </c>
    </row>
    <row r="92" spans="2:36" x14ac:dyDescent="0.2">
      <c r="B92" s="116"/>
      <c r="D92" s="204" t="s">
        <v>56</v>
      </c>
      <c r="E92" s="210" t="s">
        <v>57</v>
      </c>
      <c r="F92" s="196"/>
      <c r="G92" s="72"/>
      <c r="H92" s="167">
        <v>18</v>
      </c>
      <c r="I92" s="114">
        <f>'Vykazy HELIOS'!D92/1000</f>
        <v>0</v>
      </c>
      <c r="J92" s="114">
        <f>'Vykazy HELIOS'!E92/1000</f>
        <v>0</v>
      </c>
      <c r="K92" s="114">
        <f>'Vykazy HELIOS'!F92/1000</f>
        <v>0</v>
      </c>
      <c r="L92" s="114">
        <f>'Vykazy HELIOS'!G92/1000</f>
        <v>0</v>
      </c>
      <c r="M92" s="114">
        <f>'Vykazy HELIOS'!H92/1000</f>
        <v>0</v>
      </c>
      <c r="N92" s="128">
        <f>'Vykazy HELIOS'!I92/1000</f>
        <v>0</v>
      </c>
      <c r="O92" s="128">
        <f>'Vykazy HELIOS'!J92/1000</f>
        <v>0</v>
      </c>
      <c r="P92" s="128">
        <f>'Vykazy HELIOS'!K92/1000</f>
        <v>0</v>
      </c>
      <c r="Q92" s="128">
        <f>'Vykazy HELIOS'!L92/1000</f>
        <v>0</v>
      </c>
      <c r="R92" s="128">
        <f>'Vykazy HELIOS'!M92/1000</f>
        <v>0</v>
      </c>
      <c r="S92" s="128">
        <f>'Vykazy HELIOS'!N92/1000</f>
        <v>0</v>
      </c>
      <c r="T92" s="128">
        <f>'Vykazy HELIOS'!O92/1000</f>
        <v>0</v>
      </c>
      <c r="U92" s="128">
        <f>'Vykazy HELIOS'!P92/1000</f>
        <v>0</v>
      </c>
      <c r="V92" s="128">
        <f>'Vykazy HELIOS'!Q92/1000</f>
        <v>0</v>
      </c>
      <c r="W92" s="128">
        <f>'Vykazy HELIOS'!R92/1000</f>
        <v>0</v>
      </c>
      <c r="X92" s="128">
        <f>'Vykazy HELIOS'!S92/1000</f>
        <v>0</v>
      </c>
      <c r="Y92" s="128">
        <f>'Vykazy HELIOS'!T92/1000</f>
        <v>0</v>
      </c>
      <c r="Z92" s="128">
        <f>'Vykazy HELIOS'!U92/1000</f>
        <v>0</v>
      </c>
      <c r="AC92" t="s">
        <v>754</v>
      </c>
      <c r="AD92" t="s">
        <v>405</v>
      </c>
      <c r="AE92">
        <v>19</v>
      </c>
      <c r="AF92">
        <v>0</v>
      </c>
      <c r="AG92">
        <v>0</v>
      </c>
      <c r="AH92">
        <v>0</v>
      </c>
      <c r="AI92">
        <v>0</v>
      </c>
      <c r="AJ92" t="s">
        <v>755</v>
      </c>
    </row>
    <row r="93" spans="2:36" x14ac:dyDescent="0.2">
      <c r="B93" s="116"/>
      <c r="D93" s="204" t="s">
        <v>279</v>
      </c>
      <c r="E93" s="210" t="s">
        <v>200</v>
      </c>
      <c r="F93" s="196"/>
      <c r="G93" s="72"/>
      <c r="H93" s="167">
        <v>19</v>
      </c>
      <c r="I93" s="114">
        <f>'Vykazy HELIOS'!D93/1000</f>
        <v>0</v>
      </c>
      <c r="J93" s="114">
        <f>'Vykazy HELIOS'!E93/1000</f>
        <v>0</v>
      </c>
      <c r="K93" s="114">
        <f>'Vykazy HELIOS'!F93/1000</f>
        <v>0</v>
      </c>
      <c r="L93" s="114">
        <f>'Vykazy HELIOS'!G93/1000</f>
        <v>0</v>
      </c>
      <c r="M93" s="114">
        <f>'Vykazy HELIOS'!H93/1000</f>
        <v>0</v>
      </c>
      <c r="N93" s="128">
        <f>'Vykazy HELIOS'!I93/1000</f>
        <v>0</v>
      </c>
      <c r="O93" s="128">
        <f>'Vykazy HELIOS'!J93/1000</f>
        <v>0</v>
      </c>
      <c r="P93" s="128">
        <f>'Vykazy HELIOS'!K93/1000</f>
        <v>0</v>
      </c>
      <c r="Q93" s="128">
        <f>'Vykazy HELIOS'!L93/1000</f>
        <v>0</v>
      </c>
      <c r="R93" s="128">
        <f>'Vykazy HELIOS'!M93/1000</f>
        <v>0</v>
      </c>
      <c r="S93" s="128">
        <f>'Vykazy HELIOS'!N93/1000</f>
        <v>0</v>
      </c>
      <c r="T93" s="128">
        <f>'Vykazy HELIOS'!O93/1000</f>
        <v>0</v>
      </c>
      <c r="U93" s="128">
        <f>'Vykazy HELIOS'!P93/1000</f>
        <v>0</v>
      </c>
      <c r="V93" s="128">
        <f>'Vykazy HELIOS'!Q93/1000</f>
        <v>0</v>
      </c>
      <c r="W93" s="128">
        <f>'Vykazy HELIOS'!R93/1000</f>
        <v>0</v>
      </c>
      <c r="X93" s="128">
        <f>'Vykazy HELIOS'!S93/1000</f>
        <v>0</v>
      </c>
      <c r="Y93" s="128">
        <f>'Vykazy HELIOS'!T93/1000</f>
        <v>0</v>
      </c>
      <c r="Z93" s="128">
        <f>'Vykazy HELIOS'!U93/1000</f>
        <v>0</v>
      </c>
      <c r="AC93" t="s">
        <v>756</v>
      </c>
      <c r="AD93" t="s">
        <v>757</v>
      </c>
      <c r="AE93">
        <v>20</v>
      </c>
      <c r="AF93">
        <v>0</v>
      </c>
      <c r="AG93">
        <v>0</v>
      </c>
      <c r="AH93">
        <v>0</v>
      </c>
      <c r="AI93">
        <v>0</v>
      </c>
      <c r="AJ93" t="s">
        <v>758</v>
      </c>
    </row>
    <row r="94" spans="2:36" x14ac:dyDescent="0.2">
      <c r="B94" s="116"/>
      <c r="D94" s="204" t="s">
        <v>58</v>
      </c>
      <c r="E94" s="210" t="s">
        <v>201</v>
      </c>
      <c r="F94" s="196"/>
      <c r="G94" s="72"/>
      <c r="H94" s="167">
        <v>20</v>
      </c>
      <c r="I94" s="114">
        <f>'Vykazy HELIOS'!D94/1000</f>
        <v>0</v>
      </c>
      <c r="J94" s="129">
        <f>'Vykazy HELIOS'!E94/1000</f>
        <v>4</v>
      </c>
      <c r="K94" s="129">
        <f>'Vykazy HELIOS'!F94/1000</f>
        <v>4</v>
      </c>
      <c r="L94" s="129">
        <f>'Vykazy HELIOS'!G94/1000</f>
        <v>4</v>
      </c>
      <c r="M94" s="129">
        <f>'Vykazy HELIOS'!H94/1000</f>
        <v>4</v>
      </c>
      <c r="N94" s="130">
        <f>'Vykazy HELIOS'!I94/1000</f>
        <v>0</v>
      </c>
      <c r="O94" s="130">
        <f>'Vykazy HELIOS'!J94/1000</f>
        <v>0</v>
      </c>
      <c r="P94" s="130">
        <f>'Vykazy HELIOS'!K94/1000</f>
        <v>0</v>
      </c>
      <c r="Q94" s="130">
        <f>'Vykazy HELIOS'!L94/1000</f>
        <v>3.1791999999999998</v>
      </c>
      <c r="R94" s="130">
        <f>'Vykazy HELIOS'!M94/1000</f>
        <v>10808</v>
      </c>
      <c r="S94" s="130">
        <f>'Vykazy HELIOS'!N94/1000</f>
        <v>0</v>
      </c>
      <c r="T94" s="130">
        <f>'Vykazy HELIOS'!O94/1000</f>
        <v>0</v>
      </c>
      <c r="U94" s="130">
        <f>'Vykazy HELIOS'!P94/1000</f>
        <v>0</v>
      </c>
      <c r="V94" s="130">
        <f>'Vykazy HELIOS'!Q94/1000</f>
        <v>0</v>
      </c>
      <c r="W94" s="130">
        <f>'Vykazy HELIOS'!R94/1000</f>
        <v>16097.16</v>
      </c>
      <c r="X94" s="130">
        <f>'Vykazy HELIOS'!S94/1000</f>
        <v>0</v>
      </c>
      <c r="Y94" s="130">
        <f>'Vykazy HELIOS'!T94/1000</f>
        <v>0</v>
      </c>
      <c r="Z94" s="130">
        <f>'Vykazy HELIOS'!U94/1000</f>
        <v>0</v>
      </c>
      <c r="AC94" t="s">
        <v>759</v>
      </c>
      <c r="AD94" t="s">
        <v>55</v>
      </c>
      <c r="AE94">
        <v>21</v>
      </c>
      <c r="AF94">
        <v>0</v>
      </c>
      <c r="AG94">
        <v>0</v>
      </c>
      <c r="AH94">
        <v>0</v>
      </c>
      <c r="AI94">
        <v>0</v>
      </c>
      <c r="AJ94" t="s">
        <v>760</v>
      </c>
    </row>
    <row r="95" spans="2:36" x14ac:dyDescent="0.2">
      <c r="B95" s="116"/>
      <c r="D95" s="204">
        <v>8</v>
      </c>
      <c r="E95" s="210" t="s">
        <v>202</v>
      </c>
      <c r="F95" s="196"/>
      <c r="G95" s="72"/>
      <c r="H95" s="167">
        <v>21</v>
      </c>
      <c r="I95" s="114">
        <f>'Vykazy HELIOS'!D95/1000</f>
        <v>0</v>
      </c>
      <c r="J95" s="129">
        <f>'Vykazy HELIOS'!E95/1000</f>
        <v>150</v>
      </c>
      <c r="K95" s="129">
        <f>'Vykazy HELIOS'!F95/1000</f>
        <v>0</v>
      </c>
      <c r="L95" s="129">
        <f>'Vykazy HELIOS'!G95/1000</f>
        <v>0</v>
      </c>
      <c r="M95" s="129">
        <f>'Vykazy HELIOS'!H95/1000</f>
        <v>0</v>
      </c>
      <c r="N95" s="130">
        <f>'Vykazy HELIOS'!I95/1000</f>
        <v>0</v>
      </c>
      <c r="O95" s="130">
        <f>'Vykazy HELIOS'!J95/1000</f>
        <v>0</v>
      </c>
      <c r="P95" s="130">
        <f>'Vykazy HELIOS'!K95/1000</f>
        <v>23150.375</v>
      </c>
      <c r="Q95" s="130">
        <f>'Vykazy HELIOS'!L95/1000</f>
        <v>17347.3475</v>
      </c>
      <c r="R95" s="130">
        <f>'Vykazy HELIOS'!M95/1000</f>
        <v>12974.4</v>
      </c>
      <c r="S95" s="130">
        <f>'Vykazy HELIOS'!N95/1000</f>
        <v>1478.36502</v>
      </c>
      <c r="T95" s="130">
        <f>'Vykazy HELIOS'!O95/1000</f>
        <v>5359.5465000000004</v>
      </c>
      <c r="U95" s="130">
        <f>'Vykazy HELIOS'!P95/1000</f>
        <v>0</v>
      </c>
      <c r="V95" s="130">
        <f>'Vykazy HELIOS'!Q95/1000</f>
        <v>0</v>
      </c>
      <c r="W95" s="130">
        <f>'Vykazy HELIOS'!R95/1000</f>
        <v>902.41800000000001</v>
      </c>
      <c r="X95" s="130">
        <f>'Vykazy HELIOS'!S95/1000</f>
        <v>0</v>
      </c>
      <c r="Y95" s="130">
        <f>'Vykazy HELIOS'!T95/1000</f>
        <v>1273.3375000000001</v>
      </c>
      <c r="Z95" s="130">
        <f>'Vykazy HELIOS'!U95/1000</f>
        <v>3636.7240000000002</v>
      </c>
      <c r="AC95" t="s">
        <v>761</v>
      </c>
      <c r="AD95" t="s">
        <v>403</v>
      </c>
      <c r="AE95">
        <v>22</v>
      </c>
      <c r="AF95">
        <v>0</v>
      </c>
      <c r="AG95">
        <v>0</v>
      </c>
      <c r="AH95">
        <v>0</v>
      </c>
      <c r="AI95">
        <v>0</v>
      </c>
      <c r="AJ95" t="s">
        <v>762</v>
      </c>
    </row>
    <row r="96" spans="2:36" x14ac:dyDescent="0.2">
      <c r="B96" s="37"/>
      <c r="D96" s="212">
        <v>9</v>
      </c>
      <c r="E96" s="211" t="s">
        <v>59</v>
      </c>
      <c r="F96" s="207"/>
      <c r="G96" s="49"/>
      <c r="H96" s="164">
        <v>22</v>
      </c>
      <c r="I96" s="124">
        <f>'Vykazy HELIOS'!D96/1000</f>
        <v>0</v>
      </c>
      <c r="J96" s="107">
        <f>'Vykazy HELIOS'!E96/1000</f>
        <v>0</v>
      </c>
      <c r="K96" s="107">
        <f>'Vykazy HELIOS'!F96/1000</f>
        <v>0</v>
      </c>
      <c r="L96" s="107">
        <f>'Vykazy HELIOS'!G96/1000</f>
        <v>0</v>
      </c>
      <c r="M96" s="107">
        <f>'Vykazy HELIOS'!H96/1000</f>
        <v>0</v>
      </c>
      <c r="N96" s="125">
        <f>'Vykazy HELIOS'!I96/1000</f>
        <v>0</v>
      </c>
      <c r="O96" s="125">
        <f>'Vykazy HELIOS'!J96/1000</f>
        <v>0</v>
      </c>
      <c r="P96" s="125">
        <f>'Vykazy HELIOS'!K96/1000</f>
        <v>0</v>
      </c>
      <c r="Q96" s="125">
        <f>'Vykazy HELIOS'!L96/1000</f>
        <v>0</v>
      </c>
      <c r="R96" s="125">
        <f>'Vykazy HELIOS'!M96/1000</f>
        <v>0</v>
      </c>
      <c r="S96" s="125">
        <f>'Vykazy HELIOS'!N96/1000</f>
        <v>0</v>
      </c>
      <c r="T96" s="125">
        <f>'Vykazy HELIOS'!O96/1000</f>
        <v>0</v>
      </c>
      <c r="U96" s="125">
        <f>'Vykazy HELIOS'!P96/1000</f>
        <v>0</v>
      </c>
      <c r="V96" s="125">
        <f>'Vykazy HELIOS'!Q96/1000</f>
        <v>0</v>
      </c>
      <c r="W96" s="125">
        <f>'Vykazy HELIOS'!R96/1000</f>
        <v>0</v>
      </c>
      <c r="X96" s="125">
        <f>'Vykazy HELIOS'!S96/1000</f>
        <v>0</v>
      </c>
      <c r="Y96" s="125">
        <f>'Vykazy HELIOS'!T96/1000</f>
        <v>0</v>
      </c>
      <c r="Z96" s="125">
        <f>'Vykazy HELIOS'!U96/1000</f>
        <v>0</v>
      </c>
      <c r="AC96" t="s">
        <v>763</v>
      </c>
      <c r="AD96" t="s">
        <v>200</v>
      </c>
      <c r="AE96">
        <v>23</v>
      </c>
      <c r="AF96">
        <v>0</v>
      </c>
      <c r="AG96">
        <v>0</v>
      </c>
      <c r="AH96">
        <v>0</v>
      </c>
      <c r="AI96">
        <v>0</v>
      </c>
      <c r="AJ96" t="s">
        <v>758</v>
      </c>
    </row>
    <row r="97" spans="2:36" x14ac:dyDescent="0.2">
      <c r="B97" s="52" t="s">
        <v>60</v>
      </c>
      <c r="C97" s="44"/>
      <c r="D97" s="56" t="s">
        <v>62</v>
      </c>
      <c r="E97" s="53"/>
      <c r="F97" s="53"/>
      <c r="G97" s="53"/>
      <c r="H97" s="165">
        <v>23</v>
      </c>
      <c r="I97" s="54">
        <f>SUM(I98:I104)</f>
        <v>0</v>
      </c>
      <c r="J97" s="60">
        <f t="shared" ref="J97:N97" si="141">SUM(J98:J104)</f>
        <v>0</v>
      </c>
      <c r="K97" s="60">
        <f t="shared" si="141"/>
        <v>0</v>
      </c>
      <c r="L97" s="60">
        <f t="shared" si="141"/>
        <v>0</v>
      </c>
      <c r="M97" s="60">
        <f t="shared" si="141"/>
        <v>0</v>
      </c>
      <c r="N97" s="61">
        <f t="shared" si="141"/>
        <v>0</v>
      </c>
      <c r="O97" s="61">
        <f t="shared" ref="O97:P97" si="142">SUM(O98:O104)</f>
        <v>0</v>
      </c>
      <c r="P97" s="61">
        <f t="shared" si="142"/>
        <v>0</v>
      </c>
      <c r="Q97" s="61">
        <f t="shared" ref="Q97:R97" si="143">SUM(Q98:Q104)</f>
        <v>0</v>
      </c>
      <c r="R97" s="61">
        <f t="shared" si="143"/>
        <v>0</v>
      </c>
      <c r="S97" s="61">
        <f t="shared" ref="S97:T97" si="144">SUM(S98:S104)</f>
        <v>0</v>
      </c>
      <c r="T97" s="61">
        <f t="shared" si="144"/>
        <v>0</v>
      </c>
      <c r="U97" s="61">
        <f t="shared" ref="U97:V97" si="145">SUM(U98:U104)</f>
        <v>0</v>
      </c>
      <c r="V97" s="61">
        <f t="shared" si="145"/>
        <v>0</v>
      </c>
      <c r="W97" s="61">
        <f t="shared" ref="W97:X97" si="146">SUM(W98:W104)</f>
        <v>0</v>
      </c>
      <c r="X97" s="61">
        <f t="shared" si="146"/>
        <v>0</v>
      </c>
      <c r="Y97" s="61">
        <f t="shared" ref="Y97:Z97" si="147">SUM(Y98:Y104)</f>
        <v>0</v>
      </c>
      <c r="Z97" s="61">
        <f t="shared" si="147"/>
        <v>0</v>
      </c>
      <c r="AC97" t="s">
        <v>764</v>
      </c>
      <c r="AD97" t="s">
        <v>765</v>
      </c>
      <c r="AE97">
        <v>24</v>
      </c>
      <c r="AF97">
        <v>1259399.3700000001</v>
      </c>
      <c r="AG97">
        <v>0</v>
      </c>
      <c r="AH97">
        <v>1259399.3700000001</v>
      </c>
      <c r="AI97">
        <v>0</v>
      </c>
      <c r="AJ97" t="s">
        <v>766</v>
      </c>
    </row>
    <row r="98" spans="2:36" x14ac:dyDescent="0.2">
      <c r="B98" s="183"/>
      <c r="C98" s="173"/>
      <c r="D98" s="183" t="s">
        <v>408</v>
      </c>
      <c r="E98" s="173" t="s">
        <v>409</v>
      </c>
      <c r="F98" s="174"/>
      <c r="G98" s="174"/>
      <c r="H98" s="181">
        <v>24</v>
      </c>
      <c r="I98" s="173">
        <f>'Vykazy HELIOS'!D98/1000</f>
        <v>0</v>
      </c>
      <c r="J98" s="178">
        <f>'Vykazy HELIOS'!E98/1000</f>
        <v>0</v>
      </c>
      <c r="K98" s="178">
        <f>'Vykazy HELIOS'!F98/1000</f>
        <v>0</v>
      </c>
      <c r="L98" s="178">
        <f>'Vykazy HELIOS'!G98/1000</f>
        <v>0</v>
      </c>
      <c r="M98" s="173">
        <f>'Vykazy HELIOS'!H98/1000</f>
        <v>0</v>
      </c>
      <c r="N98" s="178">
        <f>'Vykazy HELIOS'!I98/1000</f>
        <v>0</v>
      </c>
      <c r="O98" s="178">
        <f>'Vykazy HELIOS'!J98/1000</f>
        <v>0</v>
      </c>
      <c r="P98" s="178">
        <f>'Vykazy HELIOS'!K98/1000</f>
        <v>0</v>
      </c>
      <c r="Q98" s="178">
        <f>'Vykazy HELIOS'!L98/1000</f>
        <v>0</v>
      </c>
      <c r="R98" s="178">
        <f>'Vykazy HELIOS'!M98/1000</f>
        <v>0</v>
      </c>
      <c r="S98" s="178">
        <f>'Vykazy HELIOS'!N98/1000</f>
        <v>0</v>
      </c>
      <c r="T98" s="178">
        <f>'Vykazy HELIOS'!O98/1000</f>
        <v>0</v>
      </c>
      <c r="U98" s="178">
        <f>'Vykazy HELIOS'!P98/1000</f>
        <v>0</v>
      </c>
      <c r="V98" s="178">
        <f>'Vykazy HELIOS'!Q98/1000</f>
        <v>0</v>
      </c>
      <c r="W98" s="178">
        <f>'Vykazy HELIOS'!R98/1000</f>
        <v>0</v>
      </c>
      <c r="X98" s="178">
        <f>'Vykazy HELIOS'!S98/1000</f>
        <v>0</v>
      </c>
      <c r="Y98" s="178">
        <f>'Vykazy HELIOS'!T98/1000</f>
        <v>0</v>
      </c>
      <c r="Z98" s="178">
        <f>'Vykazy HELIOS'!U98/1000</f>
        <v>0</v>
      </c>
      <c r="AC98" t="s">
        <v>767</v>
      </c>
      <c r="AD98" t="s">
        <v>202</v>
      </c>
      <c r="AE98">
        <v>25</v>
      </c>
      <c r="AF98">
        <v>1259399.3700000001</v>
      </c>
      <c r="AG98">
        <v>0</v>
      </c>
      <c r="AH98">
        <v>1259399.3700000001</v>
      </c>
      <c r="AI98">
        <v>0</v>
      </c>
      <c r="AJ98" t="s">
        <v>768</v>
      </c>
    </row>
    <row r="99" spans="2:36" x14ac:dyDescent="0.2">
      <c r="B99" s="184"/>
      <c r="D99" s="184" t="s">
        <v>51</v>
      </c>
      <c r="E99" t="s">
        <v>410</v>
      </c>
      <c r="F99" s="175"/>
      <c r="G99" s="175"/>
      <c r="H99" s="182">
        <v>25</v>
      </c>
      <c r="I99">
        <f>'Vykazy HELIOS'!D99/1000</f>
        <v>0</v>
      </c>
      <c r="J99" s="179">
        <f>'Vykazy HELIOS'!E99/1000</f>
        <v>0</v>
      </c>
      <c r="K99" s="179">
        <f>'Vykazy HELIOS'!F99/1000</f>
        <v>0</v>
      </c>
      <c r="L99" s="179">
        <f>'Vykazy HELIOS'!G99/1000</f>
        <v>0</v>
      </c>
      <c r="M99">
        <f>'Vykazy HELIOS'!H99/1000</f>
        <v>0</v>
      </c>
      <c r="N99" s="179">
        <f>'Vykazy HELIOS'!I99/1000</f>
        <v>0</v>
      </c>
      <c r="O99" s="179">
        <f>'Vykazy HELIOS'!J99/1000</f>
        <v>0</v>
      </c>
      <c r="P99" s="179">
        <f>'Vykazy HELIOS'!K99/1000</f>
        <v>0</v>
      </c>
      <c r="Q99" s="179">
        <f>'Vykazy HELIOS'!L99/1000</f>
        <v>0</v>
      </c>
      <c r="R99" s="179">
        <f>'Vykazy HELIOS'!M99/1000</f>
        <v>0</v>
      </c>
      <c r="S99" s="179">
        <f>'Vykazy HELIOS'!N99/1000</f>
        <v>0</v>
      </c>
      <c r="T99" s="179">
        <f>'Vykazy HELIOS'!O99/1000</f>
        <v>0</v>
      </c>
      <c r="U99" s="179">
        <f>'Vykazy HELIOS'!P99/1000</f>
        <v>0</v>
      </c>
      <c r="V99" s="179">
        <f>'Vykazy HELIOS'!Q99/1000</f>
        <v>0</v>
      </c>
      <c r="W99" s="179">
        <f>'Vykazy HELIOS'!R99/1000</f>
        <v>0</v>
      </c>
      <c r="X99" s="179">
        <f>'Vykazy HELIOS'!S99/1000</f>
        <v>0</v>
      </c>
      <c r="Y99" s="179">
        <f>'Vykazy HELIOS'!T99/1000</f>
        <v>0</v>
      </c>
      <c r="Z99" s="179">
        <f>'Vykazy HELIOS'!U99/1000</f>
        <v>0</v>
      </c>
      <c r="AC99" t="s">
        <v>769</v>
      </c>
      <c r="AD99" t="s">
        <v>201</v>
      </c>
      <c r="AE99">
        <v>26</v>
      </c>
      <c r="AF99">
        <v>0</v>
      </c>
      <c r="AG99">
        <v>0</v>
      </c>
      <c r="AH99">
        <v>0</v>
      </c>
      <c r="AI99">
        <v>0</v>
      </c>
      <c r="AJ99" t="s">
        <v>770</v>
      </c>
    </row>
    <row r="100" spans="2:36" x14ac:dyDescent="0.2">
      <c r="B100" s="184"/>
      <c r="D100" s="184" t="s">
        <v>411</v>
      </c>
      <c r="E100" t="s">
        <v>412</v>
      </c>
      <c r="F100" s="175"/>
      <c r="G100" s="175"/>
      <c r="H100" s="182">
        <v>26</v>
      </c>
      <c r="I100">
        <f>'Vykazy HELIOS'!D100/1000</f>
        <v>0</v>
      </c>
      <c r="J100" s="179">
        <f>'Vykazy HELIOS'!E100/1000</f>
        <v>0</v>
      </c>
      <c r="K100" s="179">
        <f>'Vykazy HELIOS'!F100/1000</f>
        <v>0</v>
      </c>
      <c r="L100" s="179">
        <f>'Vykazy HELIOS'!G100/1000</f>
        <v>0</v>
      </c>
      <c r="M100">
        <f>'Vykazy HELIOS'!H100/1000</f>
        <v>0</v>
      </c>
      <c r="N100" s="179">
        <f>'Vykazy HELIOS'!I100/1000</f>
        <v>0</v>
      </c>
      <c r="O100" s="179">
        <f>'Vykazy HELIOS'!J100/1000</f>
        <v>0</v>
      </c>
      <c r="P100" s="179">
        <f>'Vykazy HELIOS'!K100/1000</f>
        <v>0</v>
      </c>
      <c r="Q100" s="179">
        <f>'Vykazy HELIOS'!L100/1000</f>
        <v>0</v>
      </c>
      <c r="R100" s="179">
        <f>'Vykazy HELIOS'!M100/1000</f>
        <v>0</v>
      </c>
      <c r="S100" s="179">
        <f>'Vykazy HELIOS'!N100/1000</f>
        <v>0</v>
      </c>
      <c r="T100" s="179">
        <f>'Vykazy HELIOS'!O100/1000</f>
        <v>0</v>
      </c>
      <c r="U100" s="179">
        <f>'Vykazy HELIOS'!P100/1000</f>
        <v>0</v>
      </c>
      <c r="V100" s="179">
        <f>'Vykazy HELIOS'!Q100/1000</f>
        <v>0</v>
      </c>
      <c r="W100" s="179">
        <f>'Vykazy HELIOS'!R100/1000</f>
        <v>0</v>
      </c>
      <c r="X100" s="179">
        <f>'Vykazy HELIOS'!S100/1000</f>
        <v>0</v>
      </c>
      <c r="Y100" s="179">
        <f>'Vykazy HELIOS'!T100/1000</f>
        <v>0</v>
      </c>
      <c r="Z100" s="179">
        <f>'Vykazy HELIOS'!U100/1000</f>
        <v>0</v>
      </c>
      <c r="AC100" t="s">
        <v>60</v>
      </c>
      <c r="AD100" t="s">
        <v>407</v>
      </c>
      <c r="AE100">
        <v>27</v>
      </c>
      <c r="AF100">
        <v>0</v>
      </c>
      <c r="AG100">
        <v>0</v>
      </c>
      <c r="AH100">
        <v>0</v>
      </c>
      <c r="AI100">
        <v>0</v>
      </c>
      <c r="AJ100" t="s">
        <v>771</v>
      </c>
    </row>
    <row r="101" spans="2:36" x14ac:dyDescent="0.2">
      <c r="B101" s="184"/>
      <c r="D101" s="184" t="s">
        <v>54</v>
      </c>
      <c r="E101" t="s">
        <v>413</v>
      </c>
      <c r="F101" s="175"/>
      <c r="G101" s="175"/>
      <c r="H101" s="182">
        <v>27</v>
      </c>
      <c r="I101">
        <f>'Vykazy HELIOS'!D101/1000</f>
        <v>0</v>
      </c>
      <c r="J101" s="179">
        <f>'Vykazy HELIOS'!E101/1000</f>
        <v>0</v>
      </c>
      <c r="K101" s="179">
        <f>'Vykazy HELIOS'!F101/1000</f>
        <v>0</v>
      </c>
      <c r="L101" s="179">
        <f>'Vykazy HELIOS'!G101/1000</f>
        <v>0</v>
      </c>
      <c r="M101">
        <f>'Vykazy HELIOS'!H101/1000</f>
        <v>0</v>
      </c>
      <c r="N101" s="179">
        <f>'Vykazy HELIOS'!I101/1000</f>
        <v>0</v>
      </c>
      <c r="O101" s="179">
        <f>'Vykazy HELIOS'!J101/1000</f>
        <v>0</v>
      </c>
      <c r="P101" s="179">
        <f>'Vykazy HELIOS'!K101/1000</f>
        <v>0</v>
      </c>
      <c r="Q101" s="179">
        <f>'Vykazy HELIOS'!L101/1000</f>
        <v>0</v>
      </c>
      <c r="R101" s="179">
        <f>'Vykazy HELIOS'!M101/1000</f>
        <v>0</v>
      </c>
      <c r="S101" s="179">
        <f>'Vykazy HELIOS'!N101/1000</f>
        <v>0</v>
      </c>
      <c r="T101" s="179">
        <f>'Vykazy HELIOS'!O101/1000</f>
        <v>0</v>
      </c>
      <c r="U101" s="179">
        <f>'Vykazy HELIOS'!P101/1000</f>
        <v>0</v>
      </c>
      <c r="V101" s="179">
        <f>'Vykazy HELIOS'!Q101/1000</f>
        <v>0</v>
      </c>
      <c r="W101" s="179">
        <f>'Vykazy HELIOS'!R101/1000</f>
        <v>0</v>
      </c>
      <c r="X101" s="179">
        <f>'Vykazy HELIOS'!S101/1000</f>
        <v>0</v>
      </c>
      <c r="Y101" s="179">
        <f>'Vykazy HELIOS'!T101/1000</f>
        <v>0</v>
      </c>
      <c r="Z101" s="179">
        <f>'Vykazy HELIOS'!U101/1000</f>
        <v>0</v>
      </c>
      <c r="AC101" t="s">
        <v>772</v>
      </c>
      <c r="AD101" t="s">
        <v>773</v>
      </c>
      <c r="AE101">
        <v>28</v>
      </c>
      <c r="AF101">
        <v>0</v>
      </c>
      <c r="AG101">
        <v>0</v>
      </c>
      <c r="AH101">
        <v>0</v>
      </c>
      <c r="AI101">
        <v>0</v>
      </c>
      <c r="AJ101" t="s">
        <v>774</v>
      </c>
    </row>
    <row r="102" spans="2:36" x14ac:dyDescent="0.2">
      <c r="B102" s="184"/>
      <c r="D102" s="184" t="s">
        <v>56</v>
      </c>
      <c r="E102" t="s">
        <v>414</v>
      </c>
      <c r="F102" s="175"/>
      <c r="G102" s="175"/>
      <c r="H102" s="182">
        <v>28</v>
      </c>
      <c r="I102">
        <f>'Vykazy HELIOS'!D102/1000</f>
        <v>0</v>
      </c>
      <c r="J102" s="179">
        <f>'Vykazy HELIOS'!E102/1000</f>
        <v>0</v>
      </c>
      <c r="K102" s="179">
        <f>'Vykazy HELIOS'!F102/1000</f>
        <v>0</v>
      </c>
      <c r="L102" s="179">
        <f>'Vykazy HELIOS'!G102/1000</f>
        <v>0</v>
      </c>
      <c r="M102">
        <f>'Vykazy HELIOS'!H102/1000</f>
        <v>0</v>
      </c>
      <c r="N102" s="179">
        <f>'Vykazy HELIOS'!I102/1000</f>
        <v>0</v>
      </c>
      <c r="O102" s="179">
        <f>'Vykazy HELIOS'!J102/1000</f>
        <v>0</v>
      </c>
      <c r="P102" s="179">
        <f>'Vykazy HELIOS'!K102/1000</f>
        <v>0</v>
      </c>
      <c r="Q102" s="179">
        <f>'Vykazy HELIOS'!L102/1000</f>
        <v>0</v>
      </c>
      <c r="R102" s="179">
        <f>'Vykazy HELIOS'!M102/1000</f>
        <v>0</v>
      </c>
      <c r="S102" s="179">
        <f>'Vykazy HELIOS'!N102/1000</f>
        <v>0</v>
      </c>
      <c r="T102" s="179">
        <f>'Vykazy HELIOS'!O102/1000</f>
        <v>0</v>
      </c>
      <c r="U102" s="179">
        <f>'Vykazy HELIOS'!P102/1000</f>
        <v>0</v>
      </c>
      <c r="V102" s="179">
        <f>'Vykazy HELIOS'!Q102/1000</f>
        <v>0</v>
      </c>
      <c r="W102" s="179">
        <f>'Vykazy HELIOS'!R102/1000</f>
        <v>0</v>
      </c>
      <c r="X102" s="179">
        <f>'Vykazy HELIOS'!S102/1000</f>
        <v>0</v>
      </c>
      <c r="Y102" s="179">
        <f>'Vykazy HELIOS'!T102/1000</f>
        <v>0</v>
      </c>
      <c r="Z102" s="179">
        <f>'Vykazy HELIOS'!U102/1000</f>
        <v>0</v>
      </c>
      <c r="AC102" t="s">
        <v>775</v>
      </c>
      <c r="AD102" t="s">
        <v>776</v>
      </c>
      <c r="AE102">
        <v>29</v>
      </c>
      <c r="AF102">
        <v>0</v>
      </c>
      <c r="AG102">
        <v>0</v>
      </c>
      <c r="AH102">
        <v>0</v>
      </c>
      <c r="AI102">
        <v>0</v>
      </c>
      <c r="AJ102" t="s">
        <v>777</v>
      </c>
    </row>
    <row r="103" spans="2:36" x14ac:dyDescent="0.2">
      <c r="B103" s="184"/>
      <c r="D103" s="184" t="s">
        <v>279</v>
      </c>
      <c r="E103" t="s">
        <v>415</v>
      </c>
      <c r="F103" s="175"/>
      <c r="G103" s="175"/>
      <c r="H103" s="182">
        <v>29</v>
      </c>
      <c r="I103">
        <f>'Vykazy HELIOS'!D103/1000</f>
        <v>0</v>
      </c>
      <c r="J103" s="179">
        <f>'Vykazy HELIOS'!E103/1000</f>
        <v>0</v>
      </c>
      <c r="K103" s="179">
        <f>'Vykazy HELIOS'!F103/1000</f>
        <v>0</v>
      </c>
      <c r="L103" s="179">
        <f>'Vykazy HELIOS'!G103/1000</f>
        <v>0</v>
      </c>
      <c r="M103">
        <f>'Vykazy HELIOS'!H103/1000</f>
        <v>0</v>
      </c>
      <c r="N103" s="179">
        <f>'Vykazy HELIOS'!I103/1000</f>
        <v>0</v>
      </c>
      <c r="O103" s="179">
        <f>'Vykazy HELIOS'!J103/1000</f>
        <v>0</v>
      </c>
      <c r="P103" s="179">
        <f>'Vykazy HELIOS'!K103/1000</f>
        <v>0</v>
      </c>
      <c r="Q103" s="179">
        <f>'Vykazy HELIOS'!L103/1000</f>
        <v>0</v>
      </c>
      <c r="R103" s="179">
        <f>'Vykazy HELIOS'!M103/1000</f>
        <v>0</v>
      </c>
      <c r="S103" s="179">
        <f>'Vykazy HELIOS'!N103/1000</f>
        <v>0</v>
      </c>
      <c r="T103" s="179">
        <f>'Vykazy HELIOS'!O103/1000</f>
        <v>0</v>
      </c>
      <c r="U103" s="179">
        <f>'Vykazy HELIOS'!P103/1000</f>
        <v>0</v>
      </c>
      <c r="V103" s="179">
        <f>'Vykazy HELIOS'!Q103/1000</f>
        <v>0</v>
      </c>
      <c r="W103" s="179">
        <f>'Vykazy HELIOS'!R103/1000</f>
        <v>0</v>
      </c>
      <c r="X103" s="179">
        <f>'Vykazy HELIOS'!S103/1000</f>
        <v>0</v>
      </c>
      <c r="Y103" s="179">
        <f>'Vykazy HELIOS'!T103/1000</f>
        <v>0</v>
      </c>
      <c r="Z103" s="179">
        <f>'Vykazy HELIOS'!U103/1000</f>
        <v>0</v>
      </c>
      <c r="AC103" t="s">
        <v>778</v>
      </c>
      <c r="AD103" t="s">
        <v>779</v>
      </c>
      <c r="AE103">
        <v>30</v>
      </c>
      <c r="AF103">
        <v>0</v>
      </c>
      <c r="AG103">
        <v>0</v>
      </c>
      <c r="AH103">
        <v>0</v>
      </c>
      <c r="AI103">
        <v>0</v>
      </c>
      <c r="AJ103" t="s">
        <v>780</v>
      </c>
    </row>
    <row r="104" spans="2:36" x14ac:dyDescent="0.2">
      <c r="B104" s="185"/>
      <c r="C104" s="176"/>
      <c r="D104" s="185" t="s">
        <v>58</v>
      </c>
      <c r="E104" s="176" t="s">
        <v>416</v>
      </c>
      <c r="F104" s="177"/>
      <c r="G104" s="177"/>
      <c r="H104" s="186">
        <v>30</v>
      </c>
      <c r="I104" s="176">
        <f>'Vykazy HELIOS'!D104/1000</f>
        <v>0</v>
      </c>
      <c r="J104" s="180">
        <f>'Vykazy HELIOS'!E104/1000</f>
        <v>0</v>
      </c>
      <c r="K104" s="180">
        <f>'Vykazy HELIOS'!F104/1000</f>
        <v>0</v>
      </c>
      <c r="L104" s="180">
        <f>'Vykazy HELIOS'!G104/1000</f>
        <v>0</v>
      </c>
      <c r="M104" s="176">
        <f>'Vykazy HELIOS'!H104/1000</f>
        <v>0</v>
      </c>
      <c r="N104" s="180">
        <f>'Vykazy HELIOS'!I104/1000</f>
        <v>0</v>
      </c>
      <c r="O104" s="180">
        <f>'Vykazy HELIOS'!J104/1000</f>
        <v>0</v>
      </c>
      <c r="P104" s="180">
        <f>'Vykazy HELIOS'!K104/1000</f>
        <v>0</v>
      </c>
      <c r="Q104" s="180">
        <f>'Vykazy HELIOS'!L104/1000</f>
        <v>0</v>
      </c>
      <c r="R104" s="180">
        <f>'Vykazy HELIOS'!M104/1000</f>
        <v>0</v>
      </c>
      <c r="S104" s="180">
        <f>'Vykazy HELIOS'!N104/1000</f>
        <v>0</v>
      </c>
      <c r="T104" s="180">
        <f>'Vykazy HELIOS'!O104/1000</f>
        <v>0</v>
      </c>
      <c r="U104" s="180">
        <f>'Vykazy HELIOS'!P104/1000</f>
        <v>0</v>
      </c>
      <c r="V104" s="180">
        <f>'Vykazy HELIOS'!Q104/1000</f>
        <v>0</v>
      </c>
      <c r="W104" s="180">
        <f>'Vykazy HELIOS'!R104/1000</f>
        <v>0</v>
      </c>
      <c r="X104" s="180">
        <f>'Vykazy HELIOS'!S104/1000</f>
        <v>0</v>
      </c>
      <c r="Y104" s="180">
        <f>'Vykazy HELIOS'!T104/1000</f>
        <v>0</v>
      </c>
      <c r="Z104" s="180">
        <f>'Vykazy HELIOS'!U104/1000</f>
        <v>0</v>
      </c>
      <c r="AC104" t="s">
        <v>781</v>
      </c>
      <c r="AD104" t="s">
        <v>782</v>
      </c>
      <c r="AE104">
        <v>31</v>
      </c>
      <c r="AF104">
        <v>0</v>
      </c>
      <c r="AG104">
        <v>0</v>
      </c>
      <c r="AH104">
        <v>0</v>
      </c>
      <c r="AI104">
        <v>0</v>
      </c>
      <c r="AJ104" t="s">
        <v>783</v>
      </c>
    </row>
    <row r="105" spans="2:36" x14ac:dyDescent="0.2">
      <c r="B105" s="52" t="s">
        <v>14</v>
      </c>
      <c r="C105" s="44"/>
      <c r="D105" s="12" t="s">
        <v>63</v>
      </c>
      <c r="E105" s="53"/>
      <c r="F105" s="202"/>
      <c r="G105" s="53"/>
      <c r="H105" s="165">
        <v>31</v>
      </c>
      <c r="I105" s="54">
        <f t="shared" ref="I105:N105" si="148">I106+I113+I122+I132</f>
        <v>27850</v>
      </c>
      <c r="J105" s="54">
        <f t="shared" si="148"/>
        <v>46377</v>
      </c>
      <c r="K105" s="54">
        <f t="shared" si="148"/>
        <v>57068.124629999998</v>
      </c>
      <c r="L105" s="54">
        <f t="shared" si="148"/>
        <v>57715.756480000004</v>
      </c>
      <c r="M105" s="54">
        <f t="shared" si="148"/>
        <v>64198.469250000002</v>
      </c>
      <c r="N105" s="55">
        <f t="shared" si="148"/>
        <v>70271.62414</v>
      </c>
      <c r="O105" s="55">
        <f t="shared" ref="O105:P105" si="149">O106+O113+O122+O132</f>
        <v>82856.525210000007</v>
      </c>
      <c r="P105" s="55">
        <f t="shared" si="149"/>
        <v>75952.28188000001</v>
      </c>
      <c r="Q105" s="55">
        <f t="shared" ref="Q105:R105" si="150">Q106+Q113+Q122+Q132</f>
        <v>92425.753689999983</v>
      </c>
      <c r="R105" s="55">
        <f t="shared" si="150"/>
        <v>83476.657730000006</v>
      </c>
      <c r="S105" s="55">
        <f t="shared" ref="S105:T105" si="151">S106+S113+S122+S132</f>
        <v>107331.52810000001</v>
      </c>
      <c r="T105" s="55">
        <f t="shared" si="151"/>
        <v>120533.88505999999</v>
      </c>
      <c r="U105" s="55">
        <f t="shared" ref="U105:V105" si="152">U106+U113+U122+U132</f>
        <v>97391.316960000011</v>
      </c>
      <c r="V105" s="55">
        <f t="shared" si="152"/>
        <v>92551.76986</v>
      </c>
      <c r="W105" s="55">
        <f t="shared" ref="W105:X105" si="153">W106+W113+W122+W132</f>
        <v>90408.533530000001</v>
      </c>
      <c r="X105" s="55">
        <f t="shared" si="153"/>
        <v>104787.17249</v>
      </c>
      <c r="Y105" s="55">
        <f t="shared" ref="Y105:Z105" si="154">Y106+Y113+Y122+Y132</f>
        <v>100085.33312</v>
      </c>
      <c r="Z105" s="55">
        <f t="shared" si="154"/>
        <v>73797.813129999995</v>
      </c>
      <c r="AC105" t="s">
        <v>784</v>
      </c>
      <c r="AD105" t="s">
        <v>412</v>
      </c>
      <c r="AE105">
        <v>32</v>
      </c>
      <c r="AF105">
        <v>0</v>
      </c>
      <c r="AG105">
        <v>0</v>
      </c>
      <c r="AH105">
        <v>0</v>
      </c>
      <c r="AI105">
        <v>0</v>
      </c>
      <c r="AJ105" t="s">
        <v>785</v>
      </c>
    </row>
    <row r="106" spans="2:36" x14ac:dyDescent="0.2">
      <c r="B106" s="52" t="s">
        <v>64</v>
      </c>
      <c r="C106" s="44"/>
      <c r="D106" s="56" t="s">
        <v>65</v>
      </c>
      <c r="E106" s="53"/>
      <c r="F106" s="53"/>
      <c r="G106" s="53"/>
      <c r="H106" s="165">
        <v>32</v>
      </c>
      <c r="I106" s="54">
        <f t="shared" ref="I106:N106" si="155">SUM(I107:I112)</f>
        <v>60</v>
      </c>
      <c r="J106" s="54">
        <f t="shared" si="155"/>
        <v>108</v>
      </c>
      <c r="K106" s="54">
        <f t="shared" si="155"/>
        <v>220.14198000000002</v>
      </c>
      <c r="L106" s="54">
        <f t="shared" si="155"/>
        <v>304.32598000000002</v>
      </c>
      <c r="M106" s="54">
        <f t="shared" si="155"/>
        <v>379.77363000000003</v>
      </c>
      <c r="N106" s="55">
        <f t="shared" si="155"/>
        <v>485.75029999999998</v>
      </c>
      <c r="O106" s="55">
        <f t="shared" ref="O106:P106" si="156">SUM(O107:O112)</f>
        <v>626.48724000000004</v>
      </c>
      <c r="P106" s="55">
        <f t="shared" si="156"/>
        <v>755.07294000000002</v>
      </c>
      <c r="Q106" s="55">
        <f t="shared" ref="Q106:R106" si="157">SUM(Q107:Q112)</f>
        <v>1299.5547099999999</v>
      </c>
      <c r="R106" s="55">
        <f t="shared" si="157"/>
        <v>2382.0732599999997</v>
      </c>
      <c r="S106" s="55">
        <f t="shared" ref="S106:T106" si="158">SUM(S107:S112)</f>
        <v>2250.7378799999997</v>
      </c>
      <c r="T106" s="55">
        <f t="shared" si="158"/>
        <v>2519.1778300000001</v>
      </c>
      <c r="U106" s="55">
        <f t="shared" ref="U106:V106" si="159">SUM(U107:U112)</f>
        <v>2583.0103500000005</v>
      </c>
      <c r="V106" s="55">
        <f t="shared" si="159"/>
        <v>2294.7146699999998</v>
      </c>
      <c r="W106" s="55">
        <f t="shared" ref="W106:X106" si="160">SUM(W107:W112)</f>
        <v>2548.63</v>
      </c>
      <c r="X106" s="55">
        <f t="shared" si="160"/>
        <v>2585.02781</v>
      </c>
      <c r="Y106" s="55">
        <f t="shared" ref="Y106:Z106" si="161">SUM(Y107:Y112)</f>
        <v>2304.10194</v>
      </c>
      <c r="Z106" s="55">
        <f t="shared" si="161"/>
        <v>844.15719999999999</v>
      </c>
      <c r="AC106" t="s">
        <v>786</v>
      </c>
      <c r="AD106" t="s">
        <v>787</v>
      </c>
      <c r="AE106">
        <v>33</v>
      </c>
      <c r="AF106">
        <v>0</v>
      </c>
      <c r="AG106">
        <v>0</v>
      </c>
      <c r="AH106">
        <v>0</v>
      </c>
      <c r="AI106">
        <v>0</v>
      </c>
      <c r="AJ106" t="s">
        <v>788</v>
      </c>
    </row>
    <row r="107" spans="2:36" x14ac:dyDescent="0.2">
      <c r="B107" s="31" t="s">
        <v>64</v>
      </c>
      <c r="D107" s="203" t="s">
        <v>49</v>
      </c>
      <c r="E107" s="121" t="s">
        <v>66</v>
      </c>
      <c r="F107" s="194"/>
      <c r="G107" s="122"/>
      <c r="H107" s="188">
        <v>33</v>
      </c>
      <c r="I107" s="104">
        <f>'Vykazy HELIOS'!D107/1000</f>
        <v>60</v>
      </c>
      <c r="J107" s="104">
        <f>'Vykazy HELIOS'!E107/1000</f>
        <v>108</v>
      </c>
      <c r="K107" s="104">
        <f>'Vykazy HELIOS'!F107/1000</f>
        <v>216.10501000000002</v>
      </c>
      <c r="L107" s="104">
        <f>'Vykazy HELIOS'!G107/1000</f>
        <v>249.74182999999999</v>
      </c>
      <c r="M107" s="104">
        <f>'Vykazy HELIOS'!H107/1000</f>
        <v>379.77363000000003</v>
      </c>
      <c r="N107" s="123">
        <f>'Vykazy HELIOS'!I107/1000</f>
        <v>485.75029999999998</v>
      </c>
      <c r="O107" s="123">
        <f>'Vykazy HELIOS'!J107/1000</f>
        <v>626.48724000000004</v>
      </c>
      <c r="P107" s="123">
        <f>'Vykazy HELIOS'!K107/1000</f>
        <v>681.56682999999998</v>
      </c>
      <c r="Q107" s="123">
        <f>'Vykazy HELIOS'!L107/1000</f>
        <v>1299.5547099999999</v>
      </c>
      <c r="R107" s="123">
        <f>'Vykazy HELIOS'!M107/1000</f>
        <v>2382.0732599999997</v>
      </c>
      <c r="S107" s="123">
        <f>'Vykazy HELIOS'!N107/1000</f>
        <v>2224.3918799999997</v>
      </c>
      <c r="T107" s="123">
        <f>'Vykazy HELIOS'!O107/1000</f>
        <v>2253.31783</v>
      </c>
      <c r="U107" s="123">
        <f>'Vykazy HELIOS'!P107/1000</f>
        <v>2358.7883500000003</v>
      </c>
      <c r="V107" s="123">
        <f>'Vykazy HELIOS'!Q107/1000</f>
        <v>1983.5796699999999</v>
      </c>
      <c r="W107" s="123">
        <f>'Vykazy HELIOS'!R107/1000</f>
        <v>2242.377</v>
      </c>
      <c r="X107" s="123">
        <f>'Vykazy HELIOS'!S107/1000</f>
        <v>2206.3568100000002</v>
      </c>
      <c r="Y107" s="123">
        <f>'Vykazy HELIOS'!T107/1000</f>
        <v>1946.25962</v>
      </c>
      <c r="Z107" s="123">
        <f>'Vykazy HELIOS'!U107/1000</f>
        <v>566.94187999999997</v>
      </c>
      <c r="AC107" t="s">
        <v>789</v>
      </c>
      <c r="AD107" t="s">
        <v>790</v>
      </c>
      <c r="AE107">
        <v>34</v>
      </c>
      <c r="AF107">
        <v>0</v>
      </c>
      <c r="AG107">
        <v>0</v>
      </c>
      <c r="AH107">
        <v>0</v>
      </c>
      <c r="AI107">
        <v>0</v>
      </c>
      <c r="AJ107" t="s">
        <v>791</v>
      </c>
    </row>
    <row r="108" spans="2:36" x14ac:dyDescent="0.2">
      <c r="B108" s="116"/>
      <c r="D108" s="204" t="s">
        <v>51</v>
      </c>
      <c r="E108" s="127" t="s">
        <v>67</v>
      </c>
      <c r="F108" s="196"/>
      <c r="G108" s="72"/>
      <c r="H108" s="189">
        <v>34</v>
      </c>
      <c r="I108" s="114">
        <f>'Vykazy HELIOS'!D108/1000</f>
        <v>0</v>
      </c>
      <c r="J108" s="114">
        <f>'Vykazy HELIOS'!E108/1000</f>
        <v>0</v>
      </c>
      <c r="K108" s="114">
        <f>'Vykazy HELIOS'!F108/1000</f>
        <v>0</v>
      </c>
      <c r="L108" s="114">
        <f>'Vykazy HELIOS'!G108/1000</f>
        <v>0</v>
      </c>
      <c r="M108" s="114">
        <f>'Vykazy HELIOS'!H108/1000</f>
        <v>0</v>
      </c>
      <c r="N108" s="128">
        <f>'Vykazy HELIOS'!I108/1000</f>
        <v>0</v>
      </c>
      <c r="O108" s="128">
        <f>'Vykazy HELIOS'!J108/1000</f>
        <v>0</v>
      </c>
      <c r="P108" s="128">
        <f>'Vykazy HELIOS'!K108/1000</f>
        <v>73.506110000000007</v>
      </c>
      <c r="Q108" s="128">
        <f>'Vykazy HELIOS'!L108/1000</f>
        <v>0</v>
      </c>
      <c r="R108" s="128">
        <f>'Vykazy HELIOS'!M108/1000</f>
        <v>0</v>
      </c>
      <c r="S108" s="128">
        <f>'Vykazy HELIOS'!N108/1000</f>
        <v>26.346</v>
      </c>
      <c r="T108" s="128">
        <f>'Vykazy HELIOS'!O108/1000</f>
        <v>265.86</v>
      </c>
      <c r="U108" s="128">
        <f>'Vykazy HELIOS'!P108/1000</f>
        <v>224.22200000000001</v>
      </c>
      <c r="V108" s="128">
        <f>'Vykazy HELIOS'!Q108/1000</f>
        <v>311.13499999999999</v>
      </c>
      <c r="W108" s="128">
        <f>'Vykazy HELIOS'!R108/1000</f>
        <v>306.25299999999999</v>
      </c>
      <c r="X108" s="128">
        <f>'Vykazy HELIOS'!S108/1000</f>
        <v>378.67099999999999</v>
      </c>
      <c r="Y108" s="128">
        <f>'Vykazy HELIOS'!T108/1000</f>
        <v>357.84232000000003</v>
      </c>
      <c r="Z108" s="128">
        <f>'Vykazy HELIOS'!U108/1000</f>
        <v>277.21532000000002</v>
      </c>
      <c r="AC108" t="s">
        <v>792</v>
      </c>
      <c r="AD108" t="s">
        <v>414</v>
      </c>
      <c r="AE108">
        <v>35</v>
      </c>
      <c r="AF108">
        <v>0</v>
      </c>
      <c r="AG108">
        <v>0</v>
      </c>
      <c r="AH108">
        <v>0</v>
      </c>
      <c r="AI108">
        <v>0</v>
      </c>
      <c r="AJ108" t="s">
        <v>793</v>
      </c>
    </row>
    <row r="109" spans="2:36" x14ac:dyDescent="0.2">
      <c r="B109" s="116"/>
      <c r="D109" s="204" t="s">
        <v>52</v>
      </c>
      <c r="E109" s="127" t="s">
        <v>68</v>
      </c>
      <c r="F109" s="196"/>
      <c r="G109" s="72"/>
      <c r="H109" s="189">
        <v>35</v>
      </c>
      <c r="I109" s="114">
        <f>'Vykazy HELIOS'!D109/1000</f>
        <v>0</v>
      </c>
      <c r="J109" s="114">
        <f>'Vykazy HELIOS'!E109/1000</f>
        <v>0</v>
      </c>
      <c r="K109" s="114">
        <f>'Vykazy HELIOS'!F109/1000</f>
        <v>0</v>
      </c>
      <c r="L109" s="114">
        <f>'Vykazy HELIOS'!G109/1000</f>
        <v>0</v>
      </c>
      <c r="M109" s="114">
        <f>'Vykazy HELIOS'!H109/1000</f>
        <v>0</v>
      </c>
      <c r="N109" s="128">
        <f>'Vykazy HELIOS'!I109/1000</f>
        <v>0</v>
      </c>
      <c r="O109" s="128">
        <f>'Vykazy HELIOS'!J109/1000</f>
        <v>0</v>
      </c>
      <c r="P109" s="128">
        <f>'Vykazy HELIOS'!K109/1000</f>
        <v>0</v>
      </c>
      <c r="Q109" s="128">
        <f>'Vykazy HELIOS'!L109/1000</f>
        <v>0</v>
      </c>
      <c r="R109" s="128">
        <f>'Vykazy HELIOS'!M109/1000</f>
        <v>0</v>
      </c>
      <c r="S109" s="128">
        <f>'Vykazy HELIOS'!N109/1000</f>
        <v>0</v>
      </c>
      <c r="T109" s="128">
        <f>'Vykazy HELIOS'!O109/1000</f>
        <v>0</v>
      </c>
      <c r="U109" s="128">
        <f>'Vykazy HELIOS'!P109/1000</f>
        <v>0</v>
      </c>
      <c r="V109" s="128">
        <f>'Vykazy HELIOS'!Q109/1000</f>
        <v>0</v>
      </c>
      <c r="W109" s="128">
        <f>'Vykazy HELIOS'!R109/1000</f>
        <v>0</v>
      </c>
      <c r="X109" s="128">
        <f>'Vykazy HELIOS'!S109/1000</f>
        <v>0</v>
      </c>
      <c r="Y109" s="128">
        <f>'Vykazy HELIOS'!T109/1000</f>
        <v>0</v>
      </c>
      <c r="Z109" s="128">
        <f>'Vykazy HELIOS'!U109/1000</f>
        <v>0</v>
      </c>
      <c r="AC109" t="s">
        <v>794</v>
      </c>
      <c r="AD109" t="s">
        <v>416</v>
      </c>
      <c r="AE109">
        <v>36</v>
      </c>
      <c r="AF109">
        <v>0</v>
      </c>
      <c r="AG109">
        <v>0</v>
      </c>
      <c r="AH109">
        <v>0</v>
      </c>
      <c r="AI109">
        <v>0</v>
      </c>
      <c r="AJ109" t="s">
        <v>795</v>
      </c>
    </row>
    <row r="110" spans="2:36" x14ac:dyDescent="0.2">
      <c r="B110" s="116"/>
      <c r="D110" s="205" t="s">
        <v>54</v>
      </c>
      <c r="E110" s="127" t="s">
        <v>421</v>
      </c>
      <c r="F110" s="196"/>
      <c r="G110" s="72"/>
      <c r="H110" s="189">
        <v>36</v>
      </c>
      <c r="I110" s="114">
        <f>'Vykazy HELIOS'!D110/1000</f>
        <v>0</v>
      </c>
      <c r="J110" s="114">
        <f>'Vykazy HELIOS'!E110/1000</f>
        <v>0</v>
      </c>
      <c r="K110" s="114">
        <f>'Vykazy HELIOS'!F110/1000</f>
        <v>0</v>
      </c>
      <c r="L110" s="114">
        <f>'Vykazy HELIOS'!G110/1000</f>
        <v>0</v>
      </c>
      <c r="M110" s="114">
        <f>'Vykazy HELIOS'!H110/1000</f>
        <v>0</v>
      </c>
      <c r="N110" s="128">
        <f>'Vykazy HELIOS'!I110/1000</f>
        <v>0</v>
      </c>
      <c r="O110" s="128">
        <f>'Vykazy HELIOS'!J110/1000</f>
        <v>0</v>
      </c>
      <c r="P110" s="128">
        <f>'Vykazy HELIOS'!K110/1000</f>
        <v>0</v>
      </c>
      <c r="Q110" s="128">
        <f>'Vykazy HELIOS'!L110/1000</f>
        <v>0</v>
      </c>
      <c r="R110" s="128">
        <f>'Vykazy HELIOS'!M110/1000</f>
        <v>0</v>
      </c>
      <c r="S110" s="128">
        <f>'Vykazy HELIOS'!N110/1000</f>
        <v>0</v>
      </c>
      <c r="T110" s="128">
        <f>'Vykazy HELIOS'!O110/1000</f>
        <v>0</v>
      </c>
      <c r="U110" s="128">
        <f>'Vykazy HELIOS'!P110/1000</f>
        <v>0</v>
      </c>
      <c r="V110" s="128">
        <f>'Vykazy HELIOS'!Q110/1000</f>
        <v>0</v>
      </c>
      <c r="W110" s="128">
        <f>'Vykazy HELIOS'!R110/1000</f>
        <v>0</v>
      </c>
      <c r="X110" s="128">
        <f>'Vykazy HELIOS'!S110/1000</f>
        <v>0</v>
      </c>
      <c r="Y110" s="128">
        <f>'Vykazy HELIOS'!T110/1000</f>
        <v>0</v>
      </c>
      <c r="Z110" s="128">
        <f>'Vykazy HELIOS'!U110/1000</f>
        <v>0</v>
      </c>
      <c r="AC110" t="s">
        <v>14</v>
      </c>
      <c r="AD110" t="s">
        <v>417</v>
      </c>
      <c r="AE110">
        <v>37</v>
      </c>
      <c r="AF110">
        <v>103581805.55</v>
      </c>
      <c r="AG110">
        <v>-128255.36</v>
      </c>
      <c r="AH110">
        <v>103453550.19</v>
      </c>
      <c r="AI110">
        <v>104494870.79000001</v>
      </c>
      <c r="AJ110" t="s">
        <v>796</v>
      </c>
    </row>
    <row r="111" spans="2:36" x14ac:dyDescent="0.2">
      <c r="B111" s="116"/>
      <c r="D111" s="205" t="s">
        <v>56</v>
      </c>
      <c r="E111" s="208" t="s">
        <v>69</v>
      </c>
      <c r="F111" s="196"/>
      <c r="G111" s="72"/>
      <c r="H111" s="189">
        <v>37</v>
      </c>
      <c r="I111" s="114">
        <f>'Vykazy HELIOS'!D111/1000</f>
        <v>0</v>
      </c>
      <c r="J111" s="114">
        <f>'Vykazy HELIOS'!E111/1000</f>
        <v>0</v>
      </c>
      <c r="K111" s="114">
        <f>'Vykazy HELIOS'!F111/1000</f>
        <v>4.0369700000000002</v>
      </c>
      <c r="L111" s="114">
        <f>'Vykazy HELIOS'!G111/1000</f>
        <v>54.584150000000001</v>
      </c>
      <c r="M111" s="114">
        <f>'Vykazy HELIOS'!H111/1000</f>
        <v>0</v>
      </c>
      <c r="N111" s="128">
        <f>'Vykazy HELIOS'!I111/1000</f>
        <v>0</v>
      </c>
      <c r="O111" s="128">
        <f>'Vykazy HELIOS'!J111/1000</f>
        <v>0</v>
      </c>
      <c r="P111" s="128">
        <f>'Vykazy HELIOS'!K111/1000</f>
        <v>0</v>
      </c>
      <c r="Q111" s="128">
        <f>'Vykazy HELIOS'!L111/1000</f>
        <v>0</v>
      </c>
      <c r="R111" s="128">
        <f>'Vykazy HELIOS'!M111/1000</f>
        <v>0</v>
      </c>
      <c r="S111" s="128">
        <f>'Vykazy HELIOS'!N111/1000</f>
        <v>0</v>
      </c>
      <c r="T111" s="128">
        <f>'Vykazy HELIOS'!O111/1000</f>
        <v>0</v>
      </c>
      <c r="U111" s="128">
        <f>'Vykazy HELIOS'!P111/1000</f>
        <v>0</v>
      </c>
      <c r="V111" s="128">
        <f>'Vykazy HELIOS'!Q111/1000</f>
        <v>0</v>
      </c>
      <c r="W111" s="128">
        <f>'Vykazy HELIOS'!R111/1000</f>
        <v>0</v>
      </c>
      <c r="X111" s="128">
        <f>'Vykazy HELIOS'!S111/1000</f>
        <v>0</v>
      </c>
      <c r="Y111" s="128">
        <f>'Vykazy HELIOS'!T111/1000</f>
        <v>0</v>
      </c>
      <c r="Z111" s="128">
        <f>'Vykazy HELIOS'!U111/1000</f>
        <v>0</v>
      </c>
      <c r="AC111" t="s">
        <v>64</v>
      </c>
      <c r="AD111" t="s">
        <v>65</v>
      </c>
      <c r="AE111">
        <v>38</v>
      </c>
      <c r="AF111">
        <v>1761586.09</v>
      </c>
      <c r="AG111">
        <v>0</v>
      </c>
      <c r="AH111">
        <v>1761586.09</v>
      </c>
      <c r="AI111">
        <v>2585027.81</v>
      </c>
      <c r="AJ111" t="s">
        <v>797</v>
      </c>
    </row>
    <row r="112" spans="2:36" x14ac:dyDescent="0.2">
      <c r="B112" s="37"/>
      <c r="D112" s="206" t="s">
        <v>279</v>
      </c>
      <c r="E112" s="209" t="s">
        <v>70</v>
      </c>
      <c r="F112" s="207"/>
      <c r="G112" s="49"/>
      <c r="H112" s="190">
        <v>38</v>
      </c>
      <c r="I112" s="107">
        <f>'Vykazy HELIOS'!D112/1000</f>
        <v>0</v>
      </c>
      <c r="J112" s="107">
        <f>'Vykazy HELIOS'!E112/1000</f>
        <v>0</v>
      </c>
      <c r="K112" s="107">
        <f>'Vykazy HELIOS'!F112/1000</f>
        <v>0</v>
      </c>
      <c r="L112" s="107">
        <f>'Vykazy HELIOS'!G112/1000</f>
        <v>0</v>
      </c>
      <c r="M112" s="107">
        <f>'Vykazy HELIOS'!H112/1000</f>
        <v>0</v>
      </c>
      <c r="N112" s="125">
        <f>'Vykazy HELIOS'!I112/1000</f>
        <v>0</v>
      </c>
      <c r="O112" s="125">
        <f>'Vykazy HELIOS'!J112/1000</f>
        <v>0</v>
      </c>
      <c r="P112" s="125">
        <f>'Vykazy HELIOS'!K112/1000</f>
        <v>0</v>
      </c>
      <c r="Q112" s="125">
        <f>'Vykazy HELIOS'!L112/1000</f>
        <v>0</v>
      </c>
      <c r="R112" s="125">
        <f>'Vykazy HELIOS'!M112/1000</f>
        <v>0</v>
      </c>
      <c r="S112" s="125">
        <f>'Vykazy HELIOS'!N112/1000</f>
        <v>0</v>
      </c>
      <c r="T112" s="125">
        <f>'Vykazy HELIOS'!O112/1000</f>
        <v>0</v>
      </c>
      <c r="U112" s="125">
        <f>'Vykazy HELIOS'!P112/1000</f>
        <v>0</v>
      </c>
      <c r="V112" s="125">
        <f>'Vykazy HELIOS'!Q112/1000</f>
        <v>0</v>
      </c>
      <c r="W112" s="125">
        <f>'Vykazy HELIOS'!R112/1000</f>
        <v>0</v>
      </c>
      <c r="X112" s="125">
        <f>'Vykazy HELIOS'!S112/1000</f>
        <v>0</v>
      </c>
      <c r="Y112" s="125">
        <f>'Vykazy HELIOS'!T112/1000</f>
        <v>0</v>
      </c>
      <c r="Z112" s="125">
        <f>'Vykazy HELIOS'!U112/1000</f>
        <v>0</v>
      </c>
      <c r="AC112" t="s">
        <v>798</v>
      </c>
      <c r="AD112" t="s">
        <v>66</v>
      </c>
      <c r="AE112">
        <v>39</v>
      </c>
      <c r="AF112">
        <v>1390671.09</v>
      </c>
      <c r="AG112">
        <v>0</v>
      </c>
      <c r="AH112">
        <v>1390671.09</v>
      </c>
      <c r="AI112">
        <v>2206356.81</v>
      </c>
      <c r="AJ112" t="s">
        <v>799</v>
      </c>
    </row>
    <row r="113" spans="2:36" x14ac:dyDescent="0.2">
      <c r="B113" s="52" t="s">
        <v>71</v>
      </c>
      <c r="C113" s="44"/>
      <c r="D113" s="56" t="s">
        <v>72</v>
      </c>
      <c r="E113" s="58"/>
      <c r="F113" s="53"/>
      <c r="G113" s="53"/>
      <c r="H113" s="165">
        <v>39</v>
      </c>
      <c r="I113" s="54">
        <f>SUM(I114:I121)</f>
        <v>0</v>
      </c>
      <c r="J113" s="54">
        <f t="shared" ref="J113:N113" si="162">SUM(J114:J121)</f>
        <v>0</v>
      </c>
      <c r="K113" s="54">
        <f t="shared" si="162"/>
        <v>0</v>
      </c>
      <c r="L113" s="54">
        <f t="shared" si="162"/>
        <v>0</v>
      </c>
      <c r="M113" s="54">
        <f t="shared" si="162"/>
        <v>0</v>
      </c>
      <c r="N113" s="55">
        <f t="shared" si="162"/>
        <v>0</v>
      </c>
      <c r="O113" s="55">
        <f t="shared" ref="O113:P113" si="163">SUM(O114:O121)</f>
        <v>0</v>
      </c>
      <c r="P113" s="55">
        <f t="shared" si="163"/>
        <v>0</v>
      </c>
      <c r="Q113" s="55">
        <f t="shared" ref="Q113:R113" si="164">SUM(Q114:Q121)</f>
        <v>0</v>
      </c>
      <c r="R113" s="55">
        <f t="shared" si="164"/>
        <v>0</v>
      </c>
      <c r="S113" s="55">
        <f t="shared" ref="S113:T113" si="165">SUM(S114:S121)</f>
        <v>0</v>
      </c>
      <c r="T113" s="55">
        <f t="shared" si="165"/>
        <v>0</v>
      </c>
      <c r="U113" s="55">
        <f t="shared" ref="U113:V113" si="166">SUM(U114:U121)</f>
        <v>0</v>
      </c>
      <c r="V113" s="55">
        <f t="shared" si="166"/>
        <v>0</v>
      </c>
      <c r="W113" s="55">
        <f t="shared" ref="W113:X113" si="167">SUM(W114:W121)</f>
        <v>0</v>
      </c>
      <c r="X113" s="55">
        <f t="shared" si="167"/>
        <v>0</v>
      </c>
      <c r="Y113" s="55">
        <f t="shared" ref="Y113:Z113" si="168">SUM(Y114:Y121)</f>
        <v>0</v>
      </c>
      <c r="Z113" s="55">
        <f t="shared" si="168"/>
        <v>0</v>
      </c>
      <c r="AC113" t="s">
        <v>800</v>
      </c>
      <c r="AD113" t="s">
        <v>420</v>
      </c>
      <c r="AE113">
        <v>40</v>
      </c>
      <c r="AF113">
        <v>370915</v>
      </c>
      <c r="AG113">
        <v>0</v>
      </c>
      <c r="AH113">
        <v>370915</v>
      </c>
      <c r="AI113">
        <v>378671</v>
      </c>
      <c r="AJ113" t="s">
        <v>801</v>
      </c>
    </row>
    <row r="114" spans="2:36" x14ac:dyDescent="0.2">
      <c r="B114" s="183"/>
      <c r="C114" s="174"/>
      <c r="D114" s="173" t="s">
        <v>423</v>
      </c>
      <c r="E114" s="173" t="s">
        <v>424</v>
      </c>
      <c r="F114" s="173"/>
      <c r="G114" s="173"/>
      <c r="H114" s="181">
        <v>40</v>
      </c>
      <c r="I114" s="173">
        <f>'Vykazy HELIOS'!D114/1000</f>
        <v>0</v>
      </c>
      <c r="J114" s="178">
        <f>'Vykazy HELIOS'!E114/1000</f>
        <v>0</v>
      </c>
      <c r="K114" s="178">
        <f>'Vykazy HELIOS'!F114/1000</f>
        <v>0</v>
      </c>
      <c r="L114" s="173">
        <f>'Vykazy HELIOS'!G114/1000</f>
        <v>0</v>
      </c>
      <c r="M114" s="178">
        <f>'Vykazy HELIOS'!H114/1000</f>
        <v>0</v>
      </c>
      <c r="N114" s="174">
        <f>'Vykazy HELIOS'!I114/1000</f>
        <v>0</v>
      </c>
      <c r="O114" s="174">
        <f>'Vykazy HELIOS'!J114/1000</f>
        <v>0</v>
      </c>
      <c r="P114" s="174">
        <f>'Vykazy HELIOS'!K114/1000</f>
        <v>0</v>
      </c>
      <c r="Q114" s="174">
        <f>'Vykazy HELIOS'!L114/1000</f>
        <v>0</v>
      </c>
      <c r="R114" s="174">
        <f>'Vykazy HELIOS'!M114/1000</f>
        <v>0</v>
      </c>
      <c r="S114" s="174">
        <f>'Vykazy HELIOS'!N114/1000</f>
        <v>0</v>
      </c>
      <c r="T114" s="174">
        <f>'Vykazy HELIOS'!O114/1000</f>
        <v>0</v>
      </c>
      <c r="U114" s="174">
        <f>'Vykazy HELIOS'!P114/1000</f>
        <v>0</v>
      </c>
      <c r="V114" s="174">
        <f>'Vykazy HELIOS'!Q114/1000</f>
        <v>0</v>
      </c>
      <c r="W114" s="174">
        <f>'Vykazy HELIOS'!R114/1000</f>
        <v>0</v>
      </c>
      <c r="X114" s="174">
        <f>'Vykazy HELIOS'!S114/1000</f>
        <v>0</v>
      </c>
      <c r="Y114" s="174">
        <f>'Vykazy HELIOS'!T114/1000</f>
        <v>0</v>
      </c>
      <c r="Z114" s="174">
        <f>'Vykazy HELIOS'!U114/1000</f>
        <v>0</v>
      </c>
      <c r="AC114" t="s">
        <v>802</v>
      </c>
      <c r="AD114" t="s">
        <v>803</v>
      </c>
      <c r="AE114">
        <v>41</v>
      </c>
      <c r="AF114">
        <v>0</v>
      </c>
      <c r="AG114">
        <v>0</v>
      </c>
      <c r="AH114">
        <v>0</v>
      </c>
      <c r="AI114">
        <v>0</v>
      </c>
      <c r="AJ114" t="s">
        <v>804</v>
      </c>
    </row>
    <row r="115" spans="2:36" x14ac:dyDescent="0.2">
      <c r="B115" s="184"/>
      <c r="C115" s="175"/>
      <c r="D115" t="s">
        <v>51</v>
      </c>
      <c r="E115" t="s">
        <v>425</v>
      </c>
      <c r="H115" s="182">
        <v>41</v>
      </c>
      <c r="I115">
        <f>'Vykazy HELIOS'!D115/1000</f>
        <v>0</v>
      </c>
      <c r="J115" s="179">
        <f>'Vykazy HELIOS'!E115/1000</f>
        <v>0</v>
      </c>
      <c r="K115" s="179">
        <f>'Vykazy HELIOS'!F115/1000</f>
        <v>0</v>
      </c>
      <c r="L115">
        <f>'Vykazy HELIOS'!G115/1000</f>
        <v>0</v>
      </c>
      <c r="M115" s="179">
        <f>'Vykazy HELIOS'!H115/1000</f>
        <v>0</v>
      </c>
      <c r="N115" s="175">
        <f>'Vykazy HELIOS'!I115/1000</f>
        <v>0</v>
      </c>
      <c r="O115" s="175">
        <f>'Vykazy HELIOS'!J115/1000</f>
        <v>0</v>
      </c>
      <c r="P115" s="175">
        <f>'Vykazy HELIOS'!K115/1000</f>
        <v>0</v>
      </c>
      <c r="Q115" s="175">
        <f>'Vykazy HELIOS'!L115/1000</f>
        <v>0</v>
      </c>
      <c r="R115" s="175">
        <f>'Vykazy HELIOS'!M115/1000</f>
        <v>0</v>
      </c>
      <c r="S115" s="175">
        <f>'Vykazy HELIOS'!N115/1000</f>
        <v>0</v>
      </c>
      <c r="T115" s="175">
        <f>'Vykazy HELIOS'!O115/1000</f>
        <v>0</v>
      </c>
      <c r="U115" s="175">
        <f>'Vykazy HELIOS'!P115/1000</f>
        <v>0</v>
      </c>
      <c r="V115" s="175">
        <f>'Vykazy HELIOS'!Q115/1000</f>
        <v>0</v>
      </c>
      <c r="W115" s="175">
        <f>'Vykazy HELIOS'!R115/1000</f>
        <v>0</v>
      </c>
      <c r="X115" s="175">
        <f>'Vykazy HELIOS'!S115/1000</f>
        <v>0</v>
      </c>
      <c r="Y115" s="175">
        <f>'Vykazy HELIOS'!T115/1000</f>
        <v>0</v>
      </c>
      <c r="Z115" s="175">
        <f>'Vykazy HELIOS'!U115/1000</f>
        <v>0</v>
      </c>
      <c r="AC115" t="s">
        <v>805</v>
      </c>
      <c r="AD115" t="s">
        <v>68</v>
      </c>
      <c r="AE115">
        <v>42</v>
      </c>
      <c r="AF115">
        <v>0</v>
      </c>
      <c r="AG115">
        <v>0</v>
      </c>
      <c r="AH115">
        <v>0</v>
      </c>
      <c r="AI115">
        <v>0</v>
      </c>
      <c r="AJ115" t="s">
        <v>806</v>
      </c>
    </row>
    <row r="116" spans="2:36" x14ac:dyDescent="0.2">
      <c r="B116" s="184"/>
      <c r="C116" s="175"/>
      <c r="D116" t="s">
        <v>52</v>
      </c>
      <c r="E116" t="s">
        <v>426</v>
      </c>
      <c r="H116" s="182">
        <v>42</v>
      </c>
      <c r="I116">
        <f>'Vykazy HELIOS'!D116/1000</f>
        <v>0</v>
      </c>
      <c r="J116" s="179">
        <f>'Vykazy HELIOS'!E116/1000</f>
        <v>0</v>
      </c>
      <c r="K116" s="179">
        <f>'Vykazy HELIOS'!F116/1000</f>
        <v>0</v>
      </c>
      <c r="L116">
        <f>'Vykazy HELIOS'!G116/1000</f>
        <v>0</v>
      </c>
      <c r="M116" s="179">
        <f>'Vykazy HELIOS'!H116/1000</f>
        <v>0</v>
      </c>
      <c r="N116" s="175">
        <f>'Vykazy HELIOS'!I116/1000</f>
        <v>0</v>
      </c>
      <c r="O116" s="175">
        <f>'Vykazy HELIOS'!J116/1000</f>
        <v>0</v>
      </c>
      <c r="P116" s="175">
        <f>'Vykazy HELIOS'!K116/1000</f>
        <v>0</v>
      </c>
      <c r="Q116" s="175">
        <f>'Vykazy HELIOS'!L116/1000</f>
        <v>0</v>
      </c>
      <c r="R116" s="175">
        <f>'Vykazy HELIOS'!M116/1000</f>
        <v>0</v>
      </c>
      <c r="S116" s="175">
        <f>'Vykazy HELIOS'!N116/1000</f>
        <v>0</v>
      </c>
      <c r="T116" s="175">
        <f>'Vykazy HELIOS'!O116/1000</f>
        <v>0</v>
      </c>
      <c r="U116" s="175">
        <f>'Vykazy HELIOS'!P116/1000</f>
        <v>0</v>
      </c>
      <c r="V116" s="175">
        <f>'Vykazy HELIOS'!Q116/1000</f>
        <v>0</v>
      </c>
      <c r="W116" s="175">
        <f>'Vykazy HELIOS'!R116/1000</f>
        <v>0</v>
      </c>
      <c r="X116" s="175">
        <f>'Vykazy HELIOS'!S116/1000</f>
        <v>0</v>
      </c>
      <c r="Y116" s="175">
        <f>'Vykazy HELIOS'!T116/1000</f>
        <v>0</v>
      </c>
      <c r="Z116" s="175">
        <f>'Vykazy HELIOS'!U116/1000</f>
        <v>0</v>
      </c>
      <c r="AC116" t="s">
        <v>807</v>
      </c>
      <c r="AD116" t="s">
        <v>69</v>
      </c>
      <c r="AE116">
        <v>43</v>
      </c>
      <c r="AF116">
        <v>0</v>
      </c>
      <c r="AG116">
        <v>0</v>
      </c>
      <c r="AH116">
        <v>0</v>
      </c>
      <c r="AI116">
        <v>0</v>
      </c>
      <c r="AJ116" t="s">
        <v>808</v>
      </c>
    </row>
    <row r="117" spans="2:36" x14ac:dyDescent="0.2">
      <c r="B117" s="184"/>
      <c r="C117" s="175"/>
      <c r="D117" t="s">
        <v>54</v>
      </c>
      <c r="E117" t="s">
        <v>427</v>
      </c>
      <c r="H117" s="182">
        <v>43</v>
      </c>
      <c r="I117">
        <f>'Vykazy HELIOS'!D117/1000</f>
        <v>0</v>
      </c>
      <c r="J117" s="179">
        <f>'Vykazy HELIOS'!E117/1000</f>
        <v>0</v>
      </c>
      <c r="K117" s="179">
        <f>'Vykazy HELIOS'!F117/1000</f>
        <v>0</v>
      </c>
      <c r="L117">
        <f>'Vykazy HELIOS'!G117/1000</f>
        <v>0</v>
      </c>
      <c r="M117" s="179">
        <f>'Vykazy HELIOS'!H117/1000</f>
        <v>0</v>
      </c>
      <c r="N117" s="175">
        <f>'Vykazy HELIOS'!I117/1000</f>
        <v>0</v>
      </c>
      <c r="O117" s="175">
        <f>'Vykazy HELIOS'!J117/1000</f>
        <v>0</v>
      </c>
      <c r="P117" s="175">
        <f>'Vykazy HELIOS'!K117/1000</f>
        <v>0</v>
      </c>
      <c r="Q117" s="175">
        <f>'Vykazy HELIOS'!L117/1000</f>
        <v>0</v>
      </c>
      <c r="R117" s="175">
        <f>'Vykazy HELIOS'!M117/1000</f>
        <v>0</v>
      </c>
      <c r="S117" s="175">
        <f>'Vykazy HELIOS'!N117/1000</f>
        <v>0</v>
      </c>
      <c r="T117" s="175">
        <f>'Vykazy HELIOS'!O117/1000</f>
        <v>0</v>
      </c>
      <c r="U117" s="175">
        <f>'Vykazy HELIOS'!P117/1000</f>
        <v>0</v>
      </c>
      <c r="V117" s="175">
        <f>'Vykazy HELIOS'!Q117/1000</f>
        <v>0</v>
      </c>
      <c r="W117" s="175">
        <f>'Vykazy HELIOS'!R117/1000</f>
        <v>0</v>
      </c>
      <c r="X117" s="175">
        <f>'Vykazy HELIOS'!S117/1000</f>
        <v>0</v>
      </c>
      <c r="Y117" s="175">
        <f>'Vykazy HELIOS'!T117/1000</f>
        <v>0</v>
      </c>
      <c r="Z117" s="175">
        <f>'Vykazy HELIOS'!U117/1000</f>
        <v>0</v>
      </c>
      <c r="AC117" t="s">
        <v>809</v>
      </c>
      <c r="AD117" t="s">
        <v>421</v>
      </c>
      <c r="AE117">
        <v>44</v>
      </c>
      <c r="AF117">
        <v>0</v>
      </c>
      <c r="AG117">
        <v>0</v>
      </c>
      <c r="AH117">
        <v>0</v>
      </c>
      <c r="AI117">
        <v>0</v>
      </c>
      <c r="AJ117" t="s">
        <v>810</v>
      </c>
    </row>
    <row r="118" spans="2:36" x14ac:dyDescent="0.2">
      <c r="B118" s="184"/>
      <c r="C118" s="175"/>
      <c r="D118" t="s">
        <v>56</v>
      </c>
      <c r="E118" t="s">
        <v>428</v>
      </c>
      <c r="H118" s="182">
        <v>44</v>
      </c>
      <c r="I118">
        <f>'Vykazy HELIOS'!D118/1000</f>
        <v>0</v>
      </c>
      <c r="J118" s="179">
        <f>'Vykazy HELIOS'!E118/1000</f>
        <v>0</v>
      </c>
      <c r="K118" s="179">
        <f>'Vykazy HELIOS'!F118/1000</f>
        <v>0</v>
      </c>
      <c r="L118">
        <f>'Vykazy HELIOS'!G118/1000</f>
        <v>0</v>
      </c>
      <c r="M118" s="179">
        <f>'Vykazy HELIOS'!H118/1000</f>
        <v>0</v>
      </c>
      <c r="N118" s="175">
        <f>'Vykazy HELIOS'!I118/1000</f>
        <v>0</v>
      </c>
      <c r="O118" s="175">
        <f>'Vykazy HELIOS'!J118/1000</f>
        <v>0</v>
      </c>
      <c r="P118" s="175">
        <f>'Vykazy HELIOS'!K118/1000</f>
        <v>0</v>
      </c>
      <c r="Q118" s="175">
        <f>'Vykazy HELIOS'!L118/1000</f>
        <v>0</v>
      </c>
      <c r="R118" s="175">
        <f>'Vykazy HELIOS'!M118/1000</f>
        <v>0</v>
      </c>
      <c r="S118" s="175">
        <f>'Vykazy HELIOS'!N118/1000</f>
        <v>0</v>
      </c>
      <c r="T118" s="175">
        <f>'Vykazy HELIOS'!O118/1000</f>
        <v>0</v>
      </c>
      <c r="U118" s="175">
        <f>'Vykazy HELIOS'!P118/1000</f>
        <v>0</v>
      </c>
      <c r="V118" s="175">
        <f>'Vykazy HELIOS'!Q118/1000</f>
        <v>0</v>
      </c>
      <c r="W118" s="175">
        <f>'Vykazy HELIOS'!R118/1000</f>
        <v>0</v>
      </c>
      <c r="X118" s="175">
        <f>'Vykazy HELIOS'!S118/1000</f>
        <v>0</v>
      </c>
      <c r="Y118" s="175">
        <f>'Vykazy HELIOS'!T118/1000</f>
        <v>0</v>
      </c>
      <c r="Z118" s="175">
        <f>'Vykazy HELIOS'!U118/1000</f>
        <v>0</v>
      </c>
      <c r="AC118" t="s">
        <v>811</v>
      </c>
      <c r="AD118" t="s">
        <v>70</v>
      </c>
      <c r="AE118">
        <v>45</v>
      </c>
      <c r="AF118">
        <v>0</v>
      </c>
      <c r="AG118">
        <v>0</v>
      </c>
      <c r="AH118">
        <v>0</v>
      </c>
      <c r="AI118">
        <v>0</v>
      </c>
      <c r="AJ118" t="s">
        <v>812</v>
      </c>
    </row>
    <row r="119" spans="2:36" x14ac:dyDescent="0.2">
      <c r="B119" s="184"/>
      <c r="C119" s="175"/>
      <c r="D119" t="s">
        <v>279</v>
      </c>
      <c r="E119" t="s">
        <v>429</v>
      </c>
      <c r="H119" s="182">
        <v>45</v>
      </c>
      <c r="I119">
        <f>'Vykazy HELIOS'!D119/1000</f>
        <v>0</v>
      </c>
      <c r="J119" s="179">
        <f>'Vykazy HELIOS'!E119/1000</f>
        <v>0</v>
      </c>
      <c r="K119" s="179">
        <f>'Vykazy HELIOS'!F119/1000</f>
        <v>0</v>
      </c>
      <c r="L119">
        <f>'Vykazy HELIOS'!G119/1000</f>
        <v>0</v>
      </c>
      <c r="M119" s="179">
        <f>'Vykazy HELIOS'!H119/1000</f>
        <v>0</v>
      </c>
      <c r="N119" s="175">
        <f>'Vykazy HELIOS'!I119/1000</f>
        <v>0</v>
      </c>
      <c r="O119" s="175">
        <f>'Vykazy HELIOS'!J119/1000</f>
        <v>0</v>
      </c>
      <c r="P119" s="175">
        <f>'Vykazy HELIOS'!K119/1000</f>
        <v>0</v>
      </c>
      <c r="Q119" s="175">
        <f>'Vykazy HELIOS'!L119/1000</f>
        <v>0</v>
      </c>
      <c r="R119" s="175">
        <f>'Vykazy HELIOS'!M119/1000</f>
        <v>0</v>
      </c>
      <c r="S119" s="175">
        <f>'Vykazy HELIOS'!N119/1000</f>
        <v>0</v>
      </c>
      <c r="T119" s="175">
        <f>'Vykazy HELIOS'!O119/1000</f>
        <v>0</v>
      </c>
      <c r="U119" s="175">
        <f>'Vykazy HELIOS'!P119/1000</f>
        <v>0</v>
      </c>
      <c r="V119" s="175">
        <f>'Vykazy HELIOS'!Q119/1000</f>
        <v>0</v>
      </c>
      <c r="W119" s="175">
        <f>'Vykazy HELIOS'!R119/1000</f>
        <v>0</v>
      </c>
      <c r="X119" s="175">
        <f>'Vykazy HELIOS'!S119/1000</f>
        <v>0</v>
      </c>
      <c r="Y119" s="175">
        <f>'Vykazy HELIOS'!T119/1000</f>
        <v>0</v>
      </c>
      <c r="Z119" s="175">
        <f>'Vykazy HELIOS'!U119/1000</f>
        <v>0</v>
      </c>
      <c r="AC119" t="s">
        <v>71</v>
      </c>
      <c r="AD119" t="s">
        <v>813</v>
      </c>
      <c r="AE119">
        <v>46</v>
      </c>
      <c r="AF119">
        <v>62946575.829999998</v>
      </c>
      <c r="AG119">
        <v>-128255.36</v>
      </c>
      <c r="AH119">
        <v>62818320.469999999</v>
      </c>
      <c r="AI119">
        <v>75722321.280000001</v>
      </c>
      <c r="AJ119" t="s">
        <v>814</v>
      </c>
    </row>
    <row r="120" spans="2:36" x14ac:dyDescent="0.2">
      <c r="B120" s="184"/>
      <c r="C120" s="175"/>
      <c r="D120" t="s">
        <v>58</v>
      </c>
      <c r="E120" t="s">
        <v>76</v>
      </c>
      <c r="H120" s="182">
        <v>46</v>
      </c>
      <c r="I120">
        <f>'Vykazy HELIOS'!D120/1000</f>
        <v>0</v>
      </c>
      <c r="J120" s="179">
        <f>'Vykazy HELIOS'!E120/1000</f>
        <v>0</v>
      </c>
      <c r="K120" s="179">
        <f>'Vykazy HELIOS'!F120/1000</f>
        <v>0</v>
      </c>
      <c r="L120">
        <f>'Vykazy HELIOS'!G120/1000</f>
        <v>0</v>
      </c>
      <c r="M120" s="179">
        <f>'Vykazy HELIOS'!H120/1000</f>
        <v>0</v>
      </c>
      <c r="N120" s="175">
        <f>'Vykazy HELIOS'!I120/1000</f>
        <v>0</v>
      </c>
      <c r="O120" s="175">
        <f>'Vykazy HELIOS'!J120/1000</f>
        <v>0</v>
      </c>
      <c r="P120" s="175">
        <f>'Vykazy HELIOS'!K120/1000</f>
        <v>0</v>
      </c>
      <c r="Q120" s="175">
        <f>'Vykazy HELIOS'!L120/1000</f>
        <v>0</v>
      </c>
      <c r="R120" s="175">
        <f>'Vykazy HELIOS'!M120/1000</f>
        <v>0</v>
      </c>
      <c r="S120" s="175">
        <f>'Vykazy HELIOS'!N120/1000</f>
        <v>0</v>
      </c>
      <c r="T120" s="175">
        <f>'Vykazy HELIOS'!O120/1000</f>
        <v>0</v>
      </c>
      <c r="U120" s="175">
        <f>'Vykazy HELIOS'!P120/1000</f>
        <v>0</v>
      </c>
      <c r="V120" s="175">
        <f>'Vykazy HELIOS'!Q120/1000</f>
        <v>0</v>
      </c>
      <c r="W120" s="175">
        <f>'Vykazy HELIOS'!R120/1000</f>
        <v>0</v>
      </c>
      <c r="X120" s="175">
        <f>'Vykazy HELIOS'!S120/1000</f>
        <v>0</v>
      </c>
      <c r="Y120" s="175">
        <f>'Vykazy HELIOS'!T120/1000</f>
        <v>0</v>
      </c>
      <c r="Z120" s="175">
        <f>'Vykazy HELIOS'!U120/1000</f>
        <v>0</v>
      </c>
      <c r="AC120" t="s">
        <v>815</v>
      </c>
      <c r="AD120" t="s">
        <v>72</v>
      </c>
      <c r="AE120">
        <v>47</v>
      </c>
      <c r="AF120">
        <v>0</v>
      </c>
      <c r="AG120">
        <v>0</v>
      </c>
      <c r="AH120">
        <v>0</v>
      </c>
      <c r="AI120">
        <v>0</v>
      </c>
      <c r="AJ120" t="s">
        <v>816</v>
      </c>
    </row>
    <row r="121" spans="2:36" x14ac:dyDescent="0.2">
      <c r="B121" s="185"/>
      <c r="C121" s="177"/>
      <c r="D121" s="176" t="s">
        <v>398</v>
      </c>
      <c r="E121" s="176" t="s">
        <v>430</v>
      </c>
      <c r="F121" s="176"/>
      <c r="G121" s="176"/>
      <c r="H121" s="186">
        <v>47</v>
      </c>
      <c r="I121" s="176">
        <f>'Vykazy HELIOS'!D121/1000</f>
        <v>0</v>
      </c>
      <c r="J121" s="180">
        <f>'Vykazy HELIOS'!E121/1000</f>
        <v>0</v>
      </c>
      <c r="K121" s="180">
        <f>'Vykazy HELIOS'!F121/1000</f>
        <v>0</v>
      </c>
      <c r="L121" s="176">
        <f>'Vykazy HELIOS'!G121/1000</f>
        <v>0</v>
      </c>
      <c r="M121" s="180">
        <f>'Vykazy HELIOS'!H121/1000</f>
        <v>0</v>
      </c>
      <c r="N121" s="177">
        <f>'Vykazy HELIOS'!I121/1000</f>
        <v>0</v>
      </c>
      <c r="O121" s="177">
        <f>'Vykazy HELIOS'!J121/1000</f>
        <v>0</v>
      </c>
      <c r="P121" s="177">
        <f>'Vykazy HELIOS'!K121/1000</f>
        <v>0</v>
      </c>
      <c r="Q121" s="177">
        <f>'Vykazy HELIOS'!L121/1000</f>
        <v>0</v>
      </c>
      <c r="R121" s="177">
        <f>'Vykazy HELIOS'!M121/1000</f>
        <v>0</v>
      </c>
      <c r="S121" s="177">
        <f>'Vykazy HELIOS'!N121/1000</f>
        <v>0</v>
      </c>
      <c r="T121" s="177">
        <f>'Vykazy HELIOS'!O121/1000</f>
        <v>0</v>
      </c>
      <c r="U121" s="177">
        <f>'Vykazy HELIOS'!P121/1000</f>
        <v>0</v>
      </c>
      <c r="V121" s="177">
        <f>'Vykazy HELIOS'!Q121/1000</f>
        <v>0</v>
      </c>
      <c r="W121" s="177">
        <f>'Vykazy HELIOS'!R121/1000</f>
        <v>0</v>
      </c>
      <c r="X121" s="177">
        <f>'Vykazy HELIOS'!S121/1000</f>
        <v>0</v>
      </c>
      <c r="Y121" s="177">
        <f>'Vykazy HELIOS'!T121/1000</f>
        <v>0</v>
      </c>
      <c r="Z121" s="177">
        <f>'Vykazy HELIOS'!U121/1000</f>
        <v>0</v>
      </c>
      <c r="AC121" t="s">
        <v>817</v>
      </c>
      <c r="AD121" t="s">
        <v>424</v>
      </c>
      <c r="AE121">
        <v>48</v>
      </c>
      <c r="AF121">
        <v>0</v>
      </c>
      <c r="AG121">
        <v>0</v>
      </c>
      <c r="AH121">
        <v>0</v>
      </c>
      <c r="AI121">
        <v>0</v>
      </c>
      <c r="AJ121" t="s">
        <v>818</v>
      </c>
    </row>
    <row r="122" spans="2:36" x14ac:dyDescent="0.2">
      <c r="B122" s="52" t="s">
        <v>73</v>
      </c>
      <c r="C122" s="44"/>
      <c r="D122" s="56" t="s">
        <v>74</v>
      </c>
      <c r="E122" s="58"/>
      <c r="F122" s="53"/>
      <c r="G122" s="53"/>
      <c r="H122" s="165">
        <v>48</v>
      </c>
      <c r="I122" s="54">
        <f>SUM(I123:I131)</f>
        <v>25673</v>
      </c>
      <c r="J122" s="54">
        <f t="shared" ref="J122:N122" si="169">SUM(J123:J131)</f>
        <v>41712</v>
      </c>
      <c r="K122" s="54">
        <f t="shared" si="169"/>
        <v>52925.551119999996</v>
      </c>
      <c r="L122" s="54">
        <f t="shared" si="169"/>
        <v>53069.635750000001</v>
      </c>
      <c r="M122" s="54">
        <f t="shared" si="169"/>
        <v>58134.48762</v>
      </c>
      <c r="N122" s="55">
        <f t="shared" si="169"/>
        <v>52863.096610000001</v>
      </c>
      <c r="O122" s="55">
        <f t="shared" ref="O122:P122" si="170">SUM(O123:O131)</f>
        <v>72100.200710000005</v>
      </c>
      <c r="P122" s="55">
        <f t="shared" si="170"/>
        <v>61982.356130000007</v>
      </c>
      <c r="Q122" s="55">
        <f t="shared" ref="Q122:R122" si="171">SUM(Q123:Q131)</f>
        <v>77275.591959999991</v>
      </c>
      <c r="R122" s="55">
        <f t="shared" si="171"/>
        <v>65473.125039999999</v>
      </c>
      <c r="S122" s="55">
        <f t="shared" ref="S122:T122" si="172">SUM(S123:S131)</f>
        <v>80024.036560000008</v>
      </c>
      <c r="T122" s="55">
        <f t="shared" si="172"/>
        <v>92146.56276999999</v>
      </c>
      <c r="U122" s="55">
        <f t="shared" ref="U122:V122" si="173">SUM(U123:U131)</f>
        <v>59598.759140000002</v>
      </c>
      <c r="V122" s="55">
        <f t="shared" si="173"/>
        <v>62148.340620000003</v>
      </c>
      <c r="W122" s="55">
        <f t="shared" ref="W122:X122" si="174">SUM(W123:W131)</f>
        <v>58477.154419999999</v>
      </c>
      <c r="X122" s="55">
        <f t="shared" si="174"/>
        <v>76014.62298</v>
      </c>
      <c r="Y122" s="55">
        <f t="shared" ref="Y122:Z122" si="175">SUM(Y123:Y131)</f>
        <v>64077.716619999999</v>
      </c>
      <c r="Z122" s="55">
        <f t="shared" si="175"/>
        <v>51803.684669999995</v>
      </c>
      <c r="AC122" t="s">
        <v>819</v>
      </c>
      <c r="AD122" t="s">
        <v>820</v>
      </c>
      <c r="AE122">
        <v>49</v>
      </c>
      <c r="AF122">
        <v>0</v>
      </c>
      <c r="AG122">
        <v>0</v>
      </c>
      <c r="AH122">
        <v>0</v>
      </c>
      <c r="AI122">
        <v>0</v>
      </c>
      <c r="AJ122" t="s">
        <v>821</v>
      </c>
    </row>
    <row r="123" spans="2:36" x14ac:dyDescent="0.2">
      <c r="B123" s="183"/>
      <c r="C123" s="174"/>
      <c r="D123" t="s">
        <v>432</v>
      </c>
      <c r="E123" t="s">
        <v>424</v>
      </c>
      <c r="H123" s="181">
        <v>49</v>
      </c>
      <c r="I123" s="178">
        <f>'Vykazy HELIOS'!D123/1000</f>
        <v>23798</v>
      </c>
      <c r="J123" s="178">
        <f>'Vykazy HELIOS'!E123/1000</f>
        <v>41069</v>
      </c>
      <c r="K123" s="174">
        <f>'Vykazy HELIOS'!F123/1000</f>
        <v>52562.923020000002</v>
      </c>
      <c r="L123" s="174">
        <f>'Vykazy HELIOS'!G123/1000</f>
        <v>50897.09476</v>
      </c>
      <c r="M123" s="174">
        <f>'Vykazy HELIOS'!H123/1000</f>
        <v>58355.112229999999</v>
      </c>
      <c r="N123" s="174">
        <f>'Vykazy HELIOS'!I123/1000</f>
        <v>51240.938620000001</v>
      </c>
      <c r="O123" s="174">
        <f>'Vykazy HELIOS'!J123/1000</f>
        <v>72144.220199999996</v>
      </c>
      <c r="P123" s="174">
        <f>'Vykazy HELIOS'!K123/1000</f>
        <v>62167.992960000003</v>
      </c>
      <c r="Q123" s="174">
        <f>'Vykazy HELIOS'!L123/1000</f>
        <v>77099.505680000002</v>
      </c>
      <c r="R123" s="174">
        <f>'Vykazy HELIOS'!M123/1000</f>
        <v>60008.854439999996</v>
      </c>
      <c r="S123" s="174">
        <f>'Vykazy HELIOS'!N123/1000</f>
        <v>74111.109830000001</v>
      </c>
      <c r="T123" s="174">
        <f>'Vykazy HELIOS'!O123/1000</f>
        <v>88574.769390000001</v>
      </c>
      <c r="U123" s="174">
        <f>'Vykazy HELIOS'!P123/1000</f>
        <v>55648.638290000003</v>
      </c>
      <c r="V123" s="174">
        <f>'Vykazy HELIOS'!Q123/1000</f>
        <v>53930.651299999998</v>
      </c>
      <c r="W123" s="174">
        <f>'Vykazy HELIOS'!R123/1000</f>
        <v>52030.10815</v>
      </c>
      <c r="X123" s="174">
        <f>'Vykazy HELIOS'!S123/1000</f>
        <v>70077.259989999991</v>
      </c>
      <c r="Y123" s="174">
        <f>'Vykazy HELIOS'!T123/1000</f>
        <v>59033.370940000001</v>
      </c>
      <c r="Z123" s="174">
        <f>'Vykazy HELIOS'!U123/1000</f>
        <v>49542.446469999995</v>
      </c>
      <c r="AC123" t="s">
        <v>822</v>
      </c>
      <c r="AD123" t="s">
        <v>426</v>
      </c>
      <c r="AE123">
        <v>50</v>
      </c>
      <c r="AF123">
        <v>0</v>
      </c>
      <c r="AG123">
        <v>0</v>
      </c>
      <c r="AH123">
        <v>0</v>
      </c>
      <c r="AI123">
        <v>0</v>
      </c>
      <c r="AJ123" t="s">
        <v>823</v>
      </c>
    </row>
    <row r="124" spans="2:36" x14ac:dyDescent="0.2">
      <c r="B124" s="184"/>
      <c r="C124" s="175"/>
      <c r="D124" t="s">
        <v>51</v>
      </c>
      <c r="E124" t="s">
        <v>433</v>
      </c>
      <c r="H124" s="182">
        <v>50</v>
      </c>
      <c r="I124" s="179">
        <f>'Vykazy HELIOS'!D124/1000</f>
        <v>0</v>
      </c>
      <c r="J124" s="179">
        <f>'Vykazy HELIOS'!E124/1000</f>
        <v>0</v>
      </c>
      <c r="K124" s="175">
        <f>'Vykazy HELIOS'!F124/1000</f>
        <v>0</v>
      </c>
      <c r="L124" s="175">
        <f>'Vykazy HELIOS'!G124/1000</f>
        <v>0</v>
      </c>
      <c r="M124" s="175">
        <f>'Vykazy HELIOS'!H124/1000</f>
        <v>0</v>
      </c>
      <c r="N124" s="175">
        <f>'Vykazy HELIOS'!I124/1000</f>
        <v>0</v>
      </c>
      <c r="O124" s="175">
        <f>'Vykazy HELIOS'!J124/1000</f>
        <v>0</v>
      </c>
      <c r="P124" s="175">
        <f>'Vykazy HELIOS'!K124/1000</f>
        <v>0</v>
      </c>
      <c r="Q124" s="175">
        <f>'Vykazy HELIOS'!L124/1000</f>
        <v>0</v>
      </c>
      <c r="R124" s="175">
        <f>'Vykazy HELIOS'!M124/1000</f>
        <v>289.11399999999998</v>
      </c>
      <c r="S124" s="175">
        <f>'Vykazy HELIOS'!N124/1000</f>
        <v>0</v>
      </c>
      <c r="T124" s="175">
        <f>'Vykazy HELIOS'!O124/1000</f>
        <v>0</v>
      </c>
      <c r="U124" s="175">
        <f>'Vykazy HELIOS'!P124/1000</f>
        <v>0</v>
      </c>
      <c r="V124" s="175">
        <f>'Vykazy HELIOS'!Q124/1000</f>
        <v>0</v>
      </c>
      <c r="W124" s="175">
        <f>'Vykazy HELIOS'!R124/1000</f>
        <v>0</v>
      </c>
      <c r="X124" s="175">
        <f>'Vykazy HELIOS'!S124/1000</f>
        <v>0</v>
      </c>
      <c r="Y124" s="175">
        <f>'Vykazy HELIOS'!T124/1000</f>
        <v>0</v>
      </c>
      <c r="Z124" s="175">
        <f>'Vykazy HELIOS'!U124/1000</f>
        <v>0</v>
      </c>
      <c r="AC124" t="s">
        <v>824</v>
      </c>
      <c r="AD124" t="s">
        <v>430</v>
      </c>
      <c r="AE124">
        <v>51</v>
      </c>
      <c r="AF124">
        <v>0</v>
      </c>
      <c r="AG124">
        <v>0</v>
      </c>
      <c r="AH124">
        <v>0</v>
      </c>
      <c r="AI124">
        <v>0</v>
      </c>
      <c r="AJ124" t="s">
        <v>825</v>
      </c>
    </row>
    <row r="125" spans="2:36" x14ac:dyDescent="0.2">
      <c r="B125" s="184"/>
      <c r="C125" s="175"/>
      <c r="D125" t="s">
        <v>52</v>
      </c>
      <c r="E125" t="s">
        <v>434</v>
      </c>
      <c r="H125" s="182">
        <v>51</v>
      </c>
      <c r="I125" s="179">
        <f>'Vykazy HELIOS'!D125/1000</f>
        <v>0</v>
      </c>
      <c r="J125" s="179">
        <f>'Vykazy HELIOS'!E125/1000</f>
        <v>0</v>
      </c>
      <c r="K125" s="175">
        <f>'Vykazy HELIOS'!F125/1000</f>
        <v>0</v>
      </c>
      <c r="L125" s="175">
        <f>'Vykazy HELIOS'!G125/1000</f>
        <v>0</v>
      </c>
      <c r="M125" s="175">
        <f>'Vykazy HELIOS'!H125/1000</f>
        <v>0</v>
      </c>
      <c r="N125" s="175">
        <f>'Vykazy HELIOS'!I125/1000</f>
        <v>0</v>
      </c>
      <c r="O125" s="175">
        <f>'Vykazy HELIOS'!J125/1000</f>
        <v>0</v>
      </c>
      <c r="P125" s="175">
        <f>'Vykazy HELIOS'!K125/1000</f>
        <v>0</v>
      </c>
      <c r="Q125" s="175">
        <f>'Vykazy HELIOS'!L125/1000</f>
        <v>0</v>
      </c>
      <c r="R125" s="175">
        <f>'Vykazy HELIOS'!M125/1000</f>
        <v>0</v>
      </c>
      <c r="S125" s="175">
        <f>'Vykazy HELIOS'!N125/1000</f>
        <v>0</v>
      </c>
      <c r="T125" s="175">
        <f>'Vykazy HELIOS'!O125/1000</f>
        <v>0</v>
      </c>
      <c r="U125" s="175">
        <f>'Vykazy HELIOS'!P125/1000</f>
        <v>0</v>
      </c>
      <c r="V125" s="175">
        <f>'Vykazy HELIOS'!Q125/1000</f>
        <v>0</v>
      </c>
      <c r="W125" s="175">
        <f>'Vykazy HELIOS'!R125/1000</f>
        <v>0</v>
      </c>
      <c r="X125" s="175">
        <f>'Vykazy HELIOS'!S125/1000</f>
        <v>0</v>
      </c>
      <c r="Y125" s="175">
        <f>'Vykazy HELIOS'!T125/1000</f>
        <v>0</v>
      </c>
      <c r="Z125" s="175">
        <f>'Vykazy HELIOS'!U125/1000</f>
        <v>0</v>
      </c>
      <c r="AC125" t="s">
        <v>826</v>
      </c>
      <c r="AD125" t="s">
        <v>827</v>
      </c>
      <c r="AE125">
        <v>52</v>
      </c>
      <c r="AF125">
        <v>0</v>
      </c>
      <c r="AG125">
        <v>0</v>
      </c>
      <c r="AH125">
        <v>0</v>
      </c>
      <c r="AI125">
        <v>0</v>
      </c>
      <c r="AJ125" t="s">
        <v>828</v>
      </c>
    </row>
    <row r="126" spans="2:36" x14ac:dyDescent="0.2">
      <c r="B126" s="184"/>
      <c r="C126" s="175"/>
      <c r="D126" t="s">
        <v>54</v>
      </c>
      <c r="E126" t="s">
        <v>427</v>
      </c>
      <c r="H126" s="182">
        <v>52</v>
      </c>
      <c r="I126" s="179">
        <f>'Vykazy HELIOS'!D126/1000</f>
        <v>0</v>
      </c>
      <c r="J126" s="179">
        <f>'Vykazy HELIOS'!E126/1000</f>
        <v>0</v>
      </c>
      <c r="K126" s="175">
        <f>'Vykazy HELIOS'!F126/1000</f>
        <v>0</v>
      </c>
      <c r="L126" s="175">
        <f>'Vykazy HELIOS'!G126/1000</f>
        <v>0</v>
      </c>
      <c r="M126" s="175">
        <f>'Vykazy HELIOS'!H126/1000</f>
        <v>0</v>
      </c>
      <c r="N126" s="175">
        <f>'Vykazy HELIOS'!I126/1000</f>
        <v>0</v>
      </c>
      <c r="O126" s="175">
        <f>'Vykazy HELIOS'!J126/1000</f>
        <v>0</v>
      </c>
      <c r="P126" s="175">
        <f>'Vykazy HELIOS'!K126/1000</f>
        <v>0</v>
      </c>
      <c r="Q126" s="175">
        <f>'Vykazy HELIOS'!L126/1000</f>
        <v>200</v>
      </c>
      <c r="R126" s="175">
        <f>'Vykazy HELIOS'!M126/1000</f>
        <v>0</v>
      </c>
      <c r="S126" s="175">
        <f>'Vykazy HELIOS'!N126/1000</f>
        <v>0</v>
      </c>
      <c r="T126" s="175">
        <f>'Vykazy HELIOS'!O126/1000</f>
        <v>0</v>
      </c>
      <c r="U126" s="175">
        <f>'Vykazy HELIOS'!P126/1000</f>
        <v>0</v>
      </c>
      <c r="V126" s="175">
        <f>'Vykazy HELIOS'!Q126/1000</f>
        <v>0</v>
      </c>
      <c r="W126" s="175">
        <f>'Vykazy HELIOS'!R126/1000</f>
        <v>0</v>
      </c>
      <c r="X126" s="175">
        <f>'Vykazy HELIOS'!S126/1000</f>
        <v>0</v>
      </c>
      <c r="Y126" s="175">
        <f>'Vykazy HELIOS'!T126/1000</f>
        <v>0</v>
      </c>
      <c r="Z126" s="175">
        <f>'Vykazy HELIOS'!U126/1000</f>
        <v>0</v>
      </c>
      <c r="AC126" t="s">
        <v>829</v>
      </c>
      <c r="AD126" t="s">
        <v>830</v>
      </c>
      <c r="AE126">
        <v>53</v>
      </c>
      <c r="AF126">
        <v>0</v>
      </c>
      <c r="AG126">
        <v>0</v>
      </c>
      <c r="AH126">
        <v>0</v>
      </c>
      <c r="AI126">
        <v>0</v>
      </c>
      <c r="AJ126" t="s">
        <v>831</v>
      </c>
    </row>
    <row r="127" spans="2:36" x14ac:dyDescent="0.2">
      <c r="B127" s="184"/>
      <c r="C127" s="175"/>
      <c r="D127" t="s">
        <v>56</v>
      </c>
      <c r="E127" t="s">
        <v>435</v>
      </c>
      <c r="H127" s="182">
        <v>53</v>
      </c>
      <c r="I127" s="179">
        <f>'Vykazy HELIOS'!D127/1000</f>
        <v>0</v>
      </c>
      <c r="J127" s="179">
        <f>'Vykazy HELIOS'!E127/1000</f>
        <v>0</v>
      </c>
      <c r="K127" s="175">
        <f>'Vykazy HELIOS'!F127/1000</f>
        <v>0</v>
      </c>
      <c r="L127" s="175">
        <f>'Vykazy HELIOS'!G127/1000</f>
        <v>0</v>
      </c>
      <c r="M127" s="175">
        <f>'Vykazy HELIOS'!H127/1000</f>
        <v>0</v>
      </c>
      <c r="N127" s="175">
        <f>'Vykazy HELIOS'!I127/1000</f>
        <v>0</v>
      </c>
      <c r="O127" s="175">
        <f>'Vykazy HELIOS'!J127/1000</f>
        <v>0</v>
      </c>
      <c r="P127" s="175">
        <f>'Vykazy HELIOS'!K127/1000</f>
        <v>0</v>
      </c>
      <c r="Q127" s="175">
        <f>'Vykazy HELIOS'!L127/1000</f>
        <v>0</v>
      </c>
      <c r="R127" s="175">
        <f>'Vykazy HELIOS'!M127/1000</f>
        <v>0</v>
      </c>
      <c r="S127" s="175">
        <f>'Vykazy HELIOS'!N127/1000</f>
        <v>0</v>
      </c>
      <c r="T127" s="175">
        <f>'Vykazy HELIOS'!O127/1000</f>
        <v>0</v>
      </c>
      <c r="U127" s="175">
        <f>'Vykazy HELIOS'!P127/1000</f>
        <v>0</v>
      </c>
      <c r="V127" s="175">
        <f>'Vykazy HELIOS'!Q127/1000</f>
        <v>0</v>
      </c>
      <c r="W127" s="175">
        <f>'Vykazy HELIOS'!R127/1000</f>
        <v>0</v>
      </c>
      <c r="X127" s="175">
        <f>'Vykazy HELIOS'!S127/1000</f>
        <v>0</v>
      </c>
      <c r="Y127" s="175">
        <f>'Vykazy HELIOS'!T127/1000</f>
        <v>0</v>
      </c>
      <c r="Z127" s="175">
        <f>'Vykazy HELIOS'!U127/1000</f>
        <v>0</v>
      </c>
      <c r="AC127" t="s">
        <v>832</v>
      </c>
      <c r="AD127" t="s">
        <v>428</v>
      </c>
      <c r="AE127">
        <v>54</v>
      </c>
      <c r="AF127">
        <v>0</v>
      </c>
      <c r="AG127">
        <v>0</v>
      </c>
      <c r="AH127">
        <v>0</v>
      </c>
      <c r="AI127">
        <v>0</v>
      </c>
      <c r="AJ127" t="s">
        <v>833</v>
      </c>
    </row>
    <row r="128" spans="2:36" x14ac:dyDescent="0.2">
      <c r="B128" s="184"/>
      <c r="C128" s="175"/>
      <c r="D128" t="s">
        <v>279</v>
      </c>
      <c r="E128" t="s">
        <v>75</v>
      </c>
      <c r="H128" s="182">
        <v>54</v>
      </c>
      <c r="I128" s="179">
        <f>'Vykazy HELIOS'!D128/1000</f>
        <v>0</v>
      </c>
      <c r="J128" s="179">
        <f>'Vykazy HELIOS'!E128/1000</f>
        <v>0</v>
      </c>
      <c r="K128" s="175">
        <f>'Vykazy HELIOS'!F128/1000</f>
        <v>0</v>
      </c>
      <c r="L128" s="175">
        <f>'Vykazy HELIOS'!G128/1000</f>
        <v>1848.12</v>
      </c>
      <c r="M128" s="175">
        <f>'Vykazy HELIOS'!H128/1000</f>
        <v>0</v>
      </c>
      <c r="N128" s="175">
        <f>'Vykazy HELIOS'!I128/1000</f>
        <v>1236.4786200000001</v>
      </c>
      <c r="O128" s="175">
        <f>'Vykazy HELIOS'!J128/1000</f>
        <v>0</v>
      </c>
      <c r="P128" s="175">
        <f>'Vykazy HELIOS'!K128/1000</f>
        <v>0</v>
      </c>
      <c r="Q128" s="175">
        <f>'Vykazy HELIOS'!L128/1000</f>
        <v>0</v>
      </c>
      <c r="R128" s="175">
        <f>'Vykazy HELIOS'!M128/1000</f>
        <v>4314.95903</v>
      </c>
      <c r="S128" s="175">
        <f>'Vykazy HELIOS'!N128/1000</f>
        <v>3940.9601699999998</v>
      </c>
      <c r="T128" s="175">
        <f>'Vykazy HELIOS'!O128/1000</f>
        <v>182.16370999999998</v>
      </c>
      <c r="U128" s="175">
        <f>'Vykazy HELIOS'!P128/1000</f>
        <v>1235.18722</v>
      </c>
      <c r="V128" s="175">
        <f>'Vykazy HELIOS'!Q128/1000</f>
        <v>5127.1496100000004</v>
      </c>
      <c r="W128" s="175">
        <f>'Vykazy HELIOS'!R128/1000</f>
        <v>2658.7323199999996</v>
      </c>
      <c r="X128" s="175">
        <f>'Vykazy HELIOS'!S128/1000</f>
        <v>1745.52385</v>
      </c>
      <c r="Y128" s="175">
        <f>'Vykazy HELIOS'!T128/1000</f>
        <v>528.07578000000001</v>
      </c>
      <c r="Z128" s="175">
        <f>'Vykazy HELIOS'!U128/1000</f>
        <v>416.21838000000002</v>
      </c>
      <c r="AC128" t="s">
        <v>834</v>
      </c>
      <c r="AD128" t="s">
        <v>429</v>
      </c>
      <c r="AE128">
        <v>55</v>
      </c>
      <c r="AF128">
        <v>0</v>
      </c>
      <c r="AG128">
        <v>0</v>
      </c>
      <c r="AH128">
        <v>0</v>
      </c>
      <c r="AI128">
        <v>0</v>
      </c>
      <c r="AJ128" t="s">
        <v>835</v>
      </c>
    </row>
    <row r="129" spans="2:36" x14ac:dyDescent="0.2">
      <c r="B129" s="184"/>
      <c r="C129" s="175"/>
      <c r="D129" t="s">
        <v>58</v>
      </c>
      <c r="E129" t="s">
        <v>436</v>
      </c>
      <c r="H129" s="182">
        <v>55</v>
      </c>
      <c r="I129" s="179">
        <f>'Vykazy HELIOS'!D129/1000</f>
        <v>412</v>
      </c>
      <c r="J129" s="179">
        <f>'Vykazy HELIOS'!E129/1000</f>
        <v>10</v>
      </c>
      <c r="K129" s="175">
        <f>'Vykazy HELIOS'!F129/1000</f>
        <v>27.069220000000001</v>
      </c>
      <c r="L129" s="175">
        <f>'Vykazy HELIOS'!G129/1000</f>
        <v>12.16273</v>
      </c>
      <c r="M129" s="175">
        <f>'Vykazy HELIOS'!H129/1000</f>
        <v>25.546669999999999</v>
      </c>
      <c r="N129" s="175">
        <f>'Vykazy HELIOS'!I129/1000</f>
        <v>28.98659</v>
      </c>
      <c r="O129" s="175">
        <f>'Vykazy HELIOS'!J129/1000</f>
        <v>40.976239999999997</v>
      </c>
      <c r="P129" s="175">
        <f>'Vykazy HELIOS'!K129/1000</f>
        <v>29.792200000000001</v>
      </c>
      <c r="Q129" s="175">
        <f>'Vykazy HELIOS'!L129/1000</f>
        <v>26.578479999999999</v>
      </c>
      <c r="R129" s="175">
        <f>'Vykazy HELIOS'!M129/1000</f>
        <v>151.90474</v>
      </c>
      <c r="S129" s="175">
        <f>'Vykazy HELIOS'!N129/1000</f>
        <v>51.626519999999999</v>
      </c>
      <c r="T129" s="175">
        <f>'Vykazy HELIOS'!O129/1000</f>
        <v>106.57359</v>
      </c>
      <c r="U129" s="175">
        <f>'Vykazy HELIOS'!P129/1000</f>
        <v>62.821719999999999</v>
      </c>
      <c r="V129" s="175">
        <f>'Vykazy HELIOS'!Q129/1000</f>
        <v>139.88104999999999</v>
      </c>
      <c r="W129" s="175">
        <f>'Vykazy HELIOS'!R129/1000</f>
        <v>144.42428000000001</v>
      </c>
      <c r="X129" s="175">
        <f>'Vykazy HELIOS'!S129/1000</f>
        <v>141.36430999999999</v>
      </c>
      <c r="Y129" s="175">
        <f>'Vykazy HELIOS'!T129/1000</f>
        <v>192.31034</v>
      </c>
      <c r="Z129" s="175">
        <f>'Vykazy HELIOS'!U129/1000</f>
        <v>425.56421</v>
      </c>
      <c r="AC129" t="s">
        <v>836</v>
      </c>
      <c r="AD129" t="s">
        <v>76</v>
      </c>
      <c r="AE129">
        <v>56</v>
      </c>
      <c r="AF129">
        <v>0</v>
      </c>
      <c r="AG129">
        <v>0</v>
      </c>
      <c r="AH129">
        <v>0</v>
      </c>
      <c r="AI129">
        <v>0</v>
      </c>
      <c r="AJ129" t="s">
        <v>837</v>
      </c>
    </row>
    <row r="130" spans="2:36" x14ac:dyDescent="0.2">
      <c r="B130" s="184"/>
      <c r="C130" s="175"/>
      <c r="D130" t="s">
        <v>398</v>
      </c>
      <c r="E130" t="s">
        <v>429</v>
      </c>
      <c r="H130" s="182">
        <v>56</v>
      </c>
      <c r="I130" s="179">
        <f>'Vykazy HELIOS'!D130/1000</f>
        <v>1433</v>
      </c>
      <c r="J130" s="179">
        <f>'Vykazy HELIOS'!E130/1000</f>
        <v>572</v>
      </c>
      <c r="K130" s="175">
        <f>'Vykazy HELIOS'!F130/1000</f>
        <v>20</v>
      </c>
      <c r="L130" s="175">
        <f>'Vykazy HELIOS'!G130/1000</f>
        <v>25</v>
      </c>
      <c r="M130" s="175">
        <f>'Vykazy HELIOS'!H130/1000</f>
        <v>50</v>
      </c>
      <c r="N130" s="175">
        <f>'Vykazy HELIOS'!I130/1000</f>
        <v>80</v>
      </c>
      <c r="O130" s="175">
        <f>'Vykazy HELIOS'!J130/1000</f>
        <v>160</v>
      </c>
      <c r="P130" s="175">
        <f>'Vykazy HELIOS'!K130/1000</f>
        <v>85.113</v>
      </c>
      <c r="Q130" s="175">
        <f>'Vykazy HELIOS'!L130/1000</f>
        <v>313.279</v>
      </c>
      <c r="R130" s="175">
        <f>'Vykazy HELIOS'!M130/1000</f>
        <v>405.12400000000002</v>
      </c>
      <c r="S130" s="175">
        <f>'Vykazy HELIOS'!N130/1000</f>
        <v>1514.63805</v>
      </c>
      <c r="T130" s="175">
        <f>'Vykazy HELIOS'!O130/1000</f>
        <v>2814.5719199999999</v>
      </c>
      <c r="U130" s="175">
        <f>'Vykazy HELIOS'!P130/1000</f>
        <v>2002.52279</v>
      </c>
      <c r="V130" s="175">
        <f>'Vykazy HELIOS'!Q130/1000</f>
        <v>1493.5003700000002</v>
      </c>
      <c r="W130" s="175">
        <f>'Vykazy HELIOS'!R130/1000</f>
        <v>2729.6731400000003</v>
      </c>
      <c r="X130" s="175">
        <f>'Vykazy HELIOS'!S130/1000</f>
        <v>3487.1444500000002</v>
      </c>
      <c r="Y130" s="175">
        <f>'Vykazy HELIOS'!T130/1000</f>
        <v>3251.8248699999999</v>
      </c>
      <c r="Z130" s="175">
        <f>'Vykazy HELIOS'!U130/1000</f>
        <v>1003.44535</v>
      </c>
      <c r="AC130" t="s">
        <v>838</v>
      </c>
      <c r="AD130" t="s">
        <v>74</v>
      </c>
      <c r="AE130">
        <v>57</v>
      </c>
      <c r="AF130">
        <v>62946575.829999998</v>
      </c>
      <c r="AG130">
        <v>-128255.36</v>
      </c>
      <c r="AH130">
        <v>62818320.469999999</v>
      </c>
      <c r="AI130">
        <v>75722321.280000001</v>
      </c>
      <c r="AJ130" t="s">
        <v>839</v>
      </c>
    </row>
    <row r="131" spans="2:36" x14ac:dyDescent="0.2">
      <c r="B131" s="185"/>
      <c r="C131" s="177"/>
      <c r="D131" t="s">
        <v>404</v>
      </c>
      <c r="E131" t="s">
        <v>76</v>
      </c>
      <c r="H131" s="186">
        <v>57</v>
      </c>
      <c r="I131" s="180">
        <f>'Vykazy HELIOS'!D131/1000</f>
        <v>30</v>
      </c>
      <c r="J131" s="179">
        <f>'Vykazy HELIOS'!E131/1000</f>
        <v>61</v>
      </c>
      <c r="K131" s="175">
        <f>'Vykazy HELIOS'!F131/1000</f>
        <v>315.55887999999999</v>
      </c>
      <c r="L131" s="175">
        <f>'Vykazy HELIOS'!G131/1000</f>
        <v>287.25826000000001</v>
      </c>
      <c r="M131" s="175">
        <f>'Vykazy HELIOS'!H131/1000</f>
        <v>-296.17128000000002</v>
      </c>
      <c r="N131" s="175">
        <f>'Vykazy HELIOS'!I131/1000</f>
        <v>276.69278000000003</v>
      </c>
      <c r="O131" s="175">
        <f>'Vykazy HELIOS'!J131/1000</f>
        <v>-244.99573000000001</v>
      </c>
      <c r="P131" s="175">
        <f>'Vykazy HELIOS'!K131/1000</f>
        <v>-300.54203000000001</v>
      </c>
      <c r="Q131" s="175">
        <f>'Vykazy HELIOS'!L131/1000</f>
        <v>-363.77120000000002</v>
      </c>
      <c r="R131" s="175">
        <f>'Vykazy HELIOS'!M131/1000</f>
        <v>303.16883000000001</v>
      </c>
      <c r="S131" s="175">
        <f>'Vykazy HELIOS'!N131/1000</f>
        <v>405.70198999999997</v>
      </c>
      <c r="T131" s="175">
        <f>'Vykazy HELIOS'!O131/1000</f>
        <v>468.48415999999997</v>
      </c>
      <c r="U131" s="175">
        <f>'Vykazy HELIOS'!P131/1000</f>
        <v>649.58911999999998</v>
      </c>
      <c r="V131" s="175">
        <f>'Vykazy HELIOS'!Q131/1000</f>
        <v>1457.1582900000001</v>
      </c>
      <c r="W131" s="175">
        <f>'Vykazy HELIOS'!R131/1000</f>
        <v>914.21653000000003</v>
      </c>
      <c r="X131" s="175">
        <f>'Vykazy HELIOS'!S131/1000</f>
        <v>563.33037999999999</v>
      </c>
      <c r="Y131" s="175">
        <f>'Vykazy HELIOS'!T131/1000</f>
        <v>1072.1346899999999</v>
      </c>
      <c r="Z131" s="175">
        <f>'Vykazy HELIOS'!U131/1000</f>
        <v>416.01026000000002</v>
      </c>
      <c r="AC131" t="s">
        <v>840</v>
      </c>
      <c r="AD131" t="s">
        <v>424</v>
      </c>
      <c r="AE131">
        <v>58</v>
      </c>
      <c r="AF131">
        <v>59470463.200000003</v>
      </c>
      <c r="AG131">
        <v>-128255.36</v>
      </c>
      <c r="AH131">
        <v>59342207.840000004</v>
      </c>
      <c r="AI131">
        <v>70077259.989999995</v>
      </c>
      <c r="AJ131" t="s">
        <v>818</v>
      </c>
    </row>
    <row r="132" spans="2:36" x14ac:dyDescent="0.2">
      <c r="B132" s="52" t="s">
        <v>77</v>
      </c>
      <c r="C132" s="44"/>
      <c r="D132" s="56" t="s">
        <v>80</v>
      </c>
      <c r="E132" s="58"/>
      <c r="F132" s="53"/>
      <c r="G132" s="53"/>
      <c r="H132" s="170">
        <v>58</v>
      </c>
      <c r="I132" s="55">
        <f>SUM(I133:I136)</f>
        <v>2117</v>
      </c>
      <c r="J132" s="55">
        <f t="shared" ref="J132:N132" si="176">SUM(J133:J136)</f>
        <v>4557</v>
      </c>
      <c r="K132" s="55">
        <f t="shared" si="176"/>
        <v>3922.4315300000003</v>
      </c>
      <c r="L132" s="55">
        <f t="shared" si="176"/>
        <v>4341.79475</v>
      </c>
      <c r="M132" s="55">
        <f t="shared" si="176"/>
        <v>5684.2079999999996</v>
      </c>
      <c r="N132" s="55">
        <f t="shared" si="176"/>
        <v>16922.77723</v>
      </c>
      <c r="O132" s="55">
        <f t="shared" ref="O132:P132" si="177">SUM(O133:O136)</f>
        <v>10129.83726</v>
      </c>
      <c r="P132" s="55">
        <f t="shared" si="177"/>
        <v>13214.85281</v>
      </c>
      <c r="Q132" s="55">
        <f t="shared" ref="Q132:R132" si="178">SUM(Q133:Q136)</f>
        <v>13850.607019999999</v>
      </c>
      <c r="R132" s="55">
        <f t="shared" si="178"/>
        <v>15621.459429999999</v>
      </c>
      <c r="S132" s="55">
        <f t="shared" ref="S132:T132" si="179">SUM(S133:S136)</f>
        <v>25056.753659999998</v>
      </c>
      <c r="T132" s="55">
        <f t="shared" si="179"/>
        <v>25868.144459999996</v>
      </c>
      <c r="U132" s="55">
        <f t="shared" ref="U132:V132" si="180">SUM(U133:U136)</f>
        <v>35209.547470000005</v>
      </c>
      <c r="V132" s="55">
        <f t="shared" si="180"/>
        <v>28108.71457</v>
      </c>
      <c r="W132" s="55">
        <f t="shared" ref="W132:X132" si="181">SUM(W133:W136)</f>
        <v>29382.749110000001</v>
      </c>
      <c r="X132" s="55">
        <f t="shared" si="181"/>
        <v>26187.521700000001</v>
      </c>
      <c r="Y132" s="55">
        <f t="shared" ref="Y132:Z132" si="182">SUM(Y133:Y136)</f>
        <v>33703.514560000003</v>
      </c>
      <c r="Z132" s="55">
        <f t="shared" si="182"/>
        <v>21149.971260000002</v>
      </c>
      <c r="AC132" t="s">
        <v>841</v>
      </c>
      <c r="AD132" t="s">
        <v>820</v>
      </c>
      <c r="AE132">
        <v>59</v>
      </c>
      <c r="AF132">
        <v>0</v>
      </c>
      <c r="AG132">
        <v>0</v>
      </c>
      <c r="AH132">
        <v>0</v>
      </c>
      <c r="AI132">
        <v>0</v>
      </c>
      <c r="AJ132" t="s">
        <v>821</v>
      </c>
    </row>
    <row r="133" spans="2:36" x14ac:dyDescent="0.2">
      <c r="B133" s="31" t="s">
        <v>77</v>
      </c>
      <c r="C133" s="120" t="s">
        <v>49</v>
      </c>
      <c r="D133" s="131" t="s">
        <v>78</v>
      </c>
      <c r="E133" s="121"/>
      <c r="F133" s="122"/>
      <c r="G133" s="122"/>
      <c r="H133" s="166">
        <v>59</v>
      </c>
      <c r="I133" s="104">
        <f>'Vykazy HELIOS'!D133/1000</f>
        <v>267</v>
      </c>
      <c r="J133" s="104">
        <f>'Vykazy HELIOS'!E133/1000</f>
        <v>129</v>
      </c>
      <c r="K133" s="104">
        <f>'Vykazy HELIOS'!F133/1000</f>
        <v>410.08830999999998</v>
      </c>
      <c r="L133" s="104">
        <f>'Vykazy HELIOS'!G133/1000</f>
        <v>379.99218000000002</v>
      </c>
      <c r="M133" s="104">
        <f>'Vykazy HELIOS'!H133/1000</f>
        <v>711.98420999999996</v>
      </c>
      <c r="N133" s="123">
        <f>'Vykazy HELIOS'!I133/1000</f>
        <v>269.83070000000004</v>
      </c>
      <c r="O133" s="123">
        <f>'Vykazy HELIOS'!J133/1000</f>
        <v>681.79160000000002</v>
      </c>
      <c r="P133" s="123">
        <f>'Vykazy HELIOS'!K133/1000</f>
        <v>1630.8553999999999</v>
      </c>
      <c r="Q133" s="123">
        <f>'Vykazy HELIOS'!L133/1000</f>
        <v>7650.2209999999995</v>
      </c>
      <c r="R133" s="123">
        <f>'Vykazy HELIOS'!M133/1000</f>
        <v>12527.217939999999</v>
      </c>
      <c r="S133" s="123">
        <f>'Vykazy HELIOS'!N133/1000</f>
        <v>21879.970129999998</v>
      </c>
      <c r="T133" s="123">
        <f>'Vykazy HELIOS'!O133/1000</f>
        <v>19236.073989999997</v>
      </c>
      <c r="U133" s="123">
        <f>'Vykazy HELIOS'!P133/1000</f>
        <v>18716.182140000001</v>
      </c>
      <c r="V133" s="123">
        <f>'Vykazy HELIOS'!Q133/1000</f>
        <v>13332.97033</v>
      </c>
      <c r="W133" s="123">
        <f>'Vykazy HELIOS'!R133/1000</f>
        <v>16272.03414</v>
      </c>
      <c r="X133" s="123">
        <f>'Vykazy HELIOS'!S133/1000</f>
        <v>22645.38164</v>
      </c>
      <c r="Y133" s="123">
        <f>'Vykazy HELIOS'!T133/1000</f>
        <v>15738.847800000001</v>
      </c>
      <c r="Z133" s="123">
        <f>'Vykazy HELIOS'!U133/1000</f>
        <v>6531.9280499999995</v>
      </c>
      <c r="AC133" t="s">
        <v>842</v>
      </c>
      <c r="AD133" t="s">
        <v>426</v>
      </c>
      <c r="AE133">
        <v>60</v>
      </c>
      <c r="AF133">
        <v>0</v>
      </c>
      <c r="AG133">
        <v>0</v>
      </c>
      <c r="AH133">
        <v>0</v>
      </c>
      <c r="AI133">
        <v>0</v>
      </c>
      <c r="AJ133" t="s">
        <v>823</v>
      </c>
    </row>
    <row r="134" spans="2:36" x14ac:dyDescent="0.2">
      <c r="B134" s="116"/>
      <c r="C134" s="126" t="s">
        <v>51</v>
      </c>
      <c r="D134" s="133" t="s">
        <v>79</v>
      </c>
      <c r="E134" s="127"/>
      <c r="F134" s="72"/>
      <c r="G134" s="72"/>
      <c r="H134" s="167">
        <v>60</v>
      </c>
      <c r="I134" s="114">
        <f>'Vykazy HELIOS'!D134/1000</f>
        <v>1850</v>
      </c>
      <c r="J134" s="114">
        <f>'Vykazy HELIOS'!E134/1000</f>
        <v>4428</v>
      </c>
      <c r="K134" s="114">
        <f>'Vykazy HELIOS'!F134/1000</f>
        <v>3512.3432200000002</v>
      </c>
      <c r="L134" s="114">
        <f>'Vykazy HELIOS'!G134/1000</f>
        <v>3961.8025699999998</v>
      </c>
      <c r="M134" s="114">
        <f>'Vykazy HELIOS'!H134/1000</f>
        <v>4972.22379</v>
      </c>
      <c r="N134" s="128">
        <f>'Vykazy HELIOS'!I134/1000</f>
        <v>16652.946530000001</v>
      </c>
      <c r="O134" s="128">
        <f>'Vykazy HELIOS'!J134/1000</f>
        <v>9448.0456599999998</v>
      </c>
      <c r="P134" s="128">
        <f>'Vykazy HELIOS'!K134/1000</f>
        <v>11583.99741</v>
      </c>
      <c r="Q134" s="128">
        <f>'Vykazy HELIOS'!L134/1000</f>
        <v>6200.3860199999999</v>
      </c>
      <c r="R134" s="128">
        <f>'Vykazy HELIOS'!M134/1000</f>
        <v>3094.2414900000003</v>
      </c>
      <c r="S134" s="128">
        <f>'Vykazy HELIOS'!N134/1000</f>
        <v>3176.7835299999997</v>
      </c>
      <c r="T134" s="128">
        <f>'Vykazy HELIOS'!O134/1000</f>
        <v>6632.0704699999997</v>
      </c>
      <c r="U134" s="128">
        <f>'Vykazy HELIOS'!P134/1000</f>
        <v>16493.365330000001</v>
      </c>
      <c r="V134" s="128">
        <f>'Vykazy HELIOS'!Q134/1000</f>
        <v>14775.74424</v>
      </c>
      <c r="W134" s="128">
        <f>'Vykazy HELIOS'!R134/1000</f>
        <v>13110.714970000001</v>
      </c>
      <c r="X134" s="128">
        <f>'Vykazy HELIOS'!S134/1000</f>
        <v>3542.1400600000002</v>
      </c>
      <c r="Y134" s="128">
        <f>'Vykazy HELIOS'!T134/1000</f>
        <v>17964.66676</v>
      </c>
      <c r="Z134" s="128">
        <f>'Vykazy HELIOS'!U134/1000</f>
        <v>14618.043210000002</v>
      </c>
      <c r="AC134" t="s">
        <v>843</v>
      </c>
      <c r="AD134" t="s">
        <v>827</v>
      </c>
      <c r="AE134">
        <v>61</v>
      </c>
      <c r="AF134">
        <v>3476112.63</v>
      </c>
      <c r="AG134">
        <v>0</v>
      </c>
      <c r="AH134">
        <v>3476112.63</v>
      </c>
      <c r="AI134">
        <v>5645061.29</v>
      </c>
      <c r="AJ134" t="s">
        <v>828</v>
      </c>
    </row>
    <row r="135" spans="2:36" x14ac:dyDescent="0.2">
      <c r="B135" s="116"/>
      <c r="C135" s="126" t="s">
        <v>52</v>
      </c>
      <c r="D135" s="133" t="s">
        <v>80</v>
      </c>
      <c r="E135" s="127"/>
      <c r="F135" s="72"/>
      <c r="G135" s="72"/>
      <c r="H135" s="167">
        <v>61</v>
      </c>
      <c r="I135" s="114">
        <f>'Vykazy HELIOS'!D135/1000</f>
        <v>0</v>
      </c>
      <c r="J135" s="114">
        <f>'Vykazy HELIOS'!E135/1000</f>
        <v>0</v>
      </c>
      <c r="K135" s="114">
        <f>'Vykazy HELIOS'!F135/1000</f>
        <v>0</v>
      </c>
      <c r="L135" s="114">
        <f>'Vykazy HELIOS'!G135/1000</f>
        <v>0</v>
      </c>
      <c r="M135" s="114">
        <f>'Vykazy HELIOS'!H135/1000</f>
        <v>0</v>
      </c>
      <c r="N135" s="128">
        <f>'Vykazy HELIOS'!I135/1000</f>
        <v>0</v>
      </c>
      <c r="O135" s="128">
        <f>'Vykazy HELIOS'!J135/1000</f>
        <v>0</v>
      </c>
      <c r="P135" s="128">
        <f>'Vykazy HELIOS'!K135/1000</f>
        <v>0</v>
      </c>
      <c r="Q135" s="128">
        <f>'Vykazy HELIOS'!L135/1000</f>
        <v>0</v>
      </c>
      <c r="R135" s="128">
        <f>'Vykazy HELIOS'!M135/1000</f>
        <v>0</v>
      </c>
      <c r="S135" s="128">
        <f>'Vykazy HELIOS'!N135/1000</f>
        <v>0</v>
      </c>
      <c r="T135" s="128">
        <f>'Vykazy HELIOS'!O135/1000</f>
        <v>0</v>
      </c>
      <c r="U135" s="128">
        <f>'Vykazy HELIOS'!P135/1000</f>
        <v>0</v>
      </c>
      <c r="V135" s="128">
        <f>'Vykazy HELIOS'!Q135/1000</f>
        <v>0</v>
      </c>
      <c r="W135" s="128">
        <f>'Vykazy HELIOS'!R135/1000</f>
        <v>0</v>
      </c>
      <c r="X135" s="128">
        <f>'Vykazy HELIOS'!S135/1000</f>
        <v>0</v>
      </c>
      <c r="Y135" s="128">
        <f>'Vykazy HELIOS'!T135/1000</f>
        <v>0</v>
      </c>
      <c r="Z135" s="128">
        <f>'Vykazy HELIOS'!U135/1000</f>
        <v>0</v>
      </c>
      <c r="AC135" t="s">
        <v>844</v>
      </c>
      <c r="AD135" t="s">
        <v>830</v>
      </c>
      <c r="AE135">
        <v>62</v>
      </c>
      <c r="AF135">
        <v>0</v>
      </c>
      <c r="AG135">
        <v>0</v>
      </c>
      <c r="AH135">
        <v>0</v>
      </c>
      <c r="AI135">
        <v>0</v>
      </c>
      <c r="AJ135" t="s">
        <v>831</v>
      </c>
    </row>
    <row r="136" spans="2:36" x14ac:dyDescent="0.2">
      <c r="B136" s="37"/>
      <c r="C136" s="187" t="s">
        <v>54</v>
      </c>
      <c r="D136" s="132" t="s">
        <v>440</v>
      </c>
      <c r="E136" s="48"/>
      <c r="F136" s="49"/>
      <c r="G136" s="49"/>
      <c r="H136" s="164">
        <v>62</v>
      </c>
      <c r="I136" s="107">
        <f>'Vykazy HELIOS'!D136/1000</f>
        <v>0</v>
      </c>
      <c r="J136" s="107">
        <f>'Vykazy HELIOS'!E136/1000</f>
        <v>0</v>
      </c>
      <c r="K136" s="107">
        <f>'Vykazy HELIOS'!F136/1000</f>
        <v>0</v>
      </c>
      <c r="L136" s="107">
        <f>'Vykazy HELIOS'!G136/1000</f>
        <v>0</v>
      </c>
      <c r="M136" s="107">
        <f>'Vykazy HELIOS'!H136/1000</f>
        <v>0</v>
      </c>
      <c r="N136" s="125">
        <f>'Vykazy HELIOS'!I136/1000</f>
        <v>0</v>
      </c>
      <c r="O136" s="125">
        <f>'Vykazy HELIOS'!J136/1000</f>
        <v>0</v>
      </c>
      <c r="P136" s="125">
        <f>'Vykazy HELIOS'!K136/1000</f>
        <v>0</v>
      </c>
      <c r="Q136" s="125">
        <f>'Vykazy HELIOS'!L136/1000</f>
        <v>0</v>
      </c>
      <c r="R136" s="125">
        <f>'Vykazy HELIOS'!M136/1000</f>
        <v>0</v>
      </c>
      <c r="S136" s="125">
        <f>'Vykazy HELIOS'!N136/1000</f>
        <v>0</v>
      </c>
      <c r="T136" s="125">
        <f>'Vykazy HELIOS'!O136/1000</f>
        <v>0</v>
      </c>
      <c r="U136" s="125">
        <f>'Vykazy HELIOS'!P136/1000</f>
        <v>0</v>
      </c>
      <c r="V136" s="125">
        <f>'Vykazy HELIOS'!Q136/1000</f>
        <v>0</v>
      </c>
      <c r="W136" s="125">
        <f>'Vykazy HELIOS'!R136/1000</f>
        <v>0</v>
      </c>
      <c r="X136" s="125">
        <f>'Vykazy HELIOS'!S136/1000</f>
        <v>0</v>
      </c>
      <c r="Y136" s="125">
        <f>'Vykazy HELIOS'!T136/1000</f>
        <v>0</v>
      </c>
      <c r="Z136" s="125">
        <f>'Vykazy HELIOS'!U136/1000</f>
        <v>0</v>
      </c>
      <c r="AC136" t="s">
        <v>845</v>
      </c>
      <c r="AD136" t="s">
        <v>435</v>
      </c>
      <c r="AE136">
        <v>63</v>
      </c>
      <c r="AF136">
        <v>0</v>
      </c>
      <c r="AG136">
        <v>0</v>
      </c>
      <c r="AH136">
        <v>0</v>
      </c>
      <c r="AI136">
        <v>0</v>
      </c>
      <c r="AJ136" t="s">
        <v>846</v>
      </c>
    </row>
    <row r="137" spans="2:36" x14ac:dyDescent="0.2">
      <c r="B137" s="52" t="s">
        <v>204</v>
      </c>
      <c r="C137" s="44"/>
      <c r="D137" s="12" t="s">
        <v>203</v>
      </c>
      <c r="E137" s="58"/>
      <c r="F137" s="53"/>
      <c r="G137" s="53"/>
      <c r="H137" s="165">
        <v>63</v>
      </c>
      <c r="I137" s="60">
        <f>SUM(I138:I140)</f>
        <v>5139</v>
      </c>
      <c r="J137" s="60">
        <f t="shared" ref="J137:N137" si="183">SUM(J138:J140)</f>
        <v>9249</v>
      </c>
      <c r="K137" s="60">
        <f t="shared" si="183"/>
        <v>8652.1511099999989</v>
      </c>
      <c r="L137" s="60">
        <f t="shared" si="183"/>
        <v>11642.335080000001</v>
      </c>
      <c r="M137" s="60">
        <f t="shared" si="183"/>
        <v>6910.3247000000001</v>
      </c>
      <c r="N137" s="60">
        <f t="shared" si="183"/>
        <v>3045.3064300000001</v>
      </c>
      <c r="O137" s="60">
        <f t="shared" ref="O137:P137" si="184">SUM(O138:O140)</f>
        <v>1837.22255</v>
      </c>
      <c r="P137" s="60">
        <f t="shared" si="184"/>
        <v>799.64805000000001</v>
      </c>
      <c r="Q137" s="60">
        <f t="shared" ref="Q137:R137" si="185">SUM(Q138:Q140)</f>
        <v>877.20623000000001</v>
      </c>
      <c r="R137" s="60">
        <f t="shared" si="185"/>
        <v>962.19715000000008</v>
      </c>
      <c r="S137" s="60">
        <f t="shared" ref="S137:T137" si="186">SUM(S138:S140)</f>
        <v>2871.5238899999999</v>
      </c>
      <c r="T137" s="60">
        <f t="shared" si="186"/>
        <v>1984.27954</v>
      </c>
      <c r="U137" s="60">
        <f t="shared" ref="U137:V137" si="187">SUM(U138:U140)</f>
        <v>1669.6889199999998</v>
      </c>
      <c r="V137" s="60">
        <f t="shared" si="187"/>
        <v>1859.9218699999999</v>
      </c>
      <c r="W137" s="60">
        <f t="shared" ref="W137:X137" si="188">SUM(W138:W140)</f>
        <v>1854.9172699999999</v>
      </c>
      <c r="X137" s="60">
        <f t="shared" si="188"/>
        <v>2213.81835</v>
      </c>
      <c r="Y137" s="60">
        <f t="shared" ref="Y137:Z137" si="189">SUM(Y138:Y140)</f>
        <v>5062.8044200000004</v>
      </c>
      <c r="Z137" s="60">
        <f t="shared" si="189"/>
        <v>1165.5048900000002</v>
      </c>
      <c r="AC137" t="s">
        <v>847</v>
      </c>
      <c r="AD137" t="s">
        <v>75</v>
      </c>
      <c r="AE137">
        <v>64</v>
      </c>
      <c r="AF137">
        <v>0</v>
      </c>
      <c r="AG137">
        <v>0</v>
      </c>
      <c r="AH137">
        <v>0</v>
      </c>
      <c r="AI137">
        <v>1453222.15</v>
      </c>
      <c r="AJ137" t="s">
        <v>848</v>
      </c>
    </row>
    <row r="138" spans="2:36" x14ac:dyDescent="0.2">
      <c r="B138" s="191"/>
      <c r="C138" s="16"/>
      <c r="D138" s="193" t="s">
        <v>443</v>
      </c>
      <c r="E138" s="121" t="s">
        <v>444</v>
      </c>
      <c r="F138" s="194"/>
      <c r="G138" s="194"/>
      <c r="H138" s="197">
        <v>64</v>
      </c>
      <c r="I138" s="200">
        <f>'Vykazy HELIOS'!D138/1000</f>
        <v>5139</v>
      </c>
      <c r="J138" s="200">
        <f>'Vykazy HELIOS'!E138/1000</f>
        <v>9249</v>
      </c>
      <c r="K138" s="200">
        <f>'Vykazy HELIOS'!F138/1000</f>
        <v>8652.1511099999989</v>
      </c>
      <c r="L138" s="200">
        <f>'Vykazy HELIOS'!G138/1000</f>
        <v>11662.90934</v>
      </c>
      <c r="M138" s="200">
        <f>'Vykazy HELIOS'!H138/1000</f>
        <v>6910.3247000000001</v>
      </c>
      <c r="N138" s="192">
        <f>'Vykazy HELIOS'!I138/1000</f>
        <v>2976.3378600000001</v>
      </c>
      <c r="O138" s="192">
        <f>'Vykazy HELIOS'!J138/1000</f>
        <v>1837.22255</v>
      </c>
      <c r="P138" s="192">
        <f>'Vykazy HELIOS'!K138/1000</f>
        <v>799.64805000000001</v>
      </c>
      <c r="Q138" s="192">
        <f>'Vykazy HELIOS'!L138/1000</f>
        <v>877.20623000000001</v>
      </c>
      <c r="R138" s="192">
        <f>'Vykazy HELIOS'!M138/1000</f>
        <v>910.18015000000003</v>
      </c>
      <c r="S138" s="192">
        <f>'Vykazy HELIOS'!N138/1000</f>
        <v>1026.8511599999999</v>
      </c>
      <c r="T138" s="192">
        <f>'Vykazy HELIOS'!O138/1000</f>
        <v>400.21010999999999</v>
      </c>
      <c r="U138" s="192">
        <f>'Vykazy HELIOS'!P138/1000</f>
        <v>397.90115999999995</v>
      </c>
      <c r="V138" s="192">
        <f>'Vykazy HELIOS'!Q138/1000</f>
        <v>630.76423999999997</v>
      </c>
      <c r="W138" s="192">
        <f>'Vykazy HELIOS'!R138/1000</f>
        <v>548.49156000000005</v>
      </c>
      <c r="X138" s="192">
        <f>'Vykazy HELIOS'!S138/1000</f>
        <v>518.55740000000003</v>
      </c>
      <c r="Y138" s="192">
        <f>'Vykazy HELIOS'!T138/1000</f>
        <v>835.51745999999991</v>
      </c>
      <c r="Z138" s="192">
        <f>'Vykazy HELIOS'!U138/1000</f>
        <v>424.45163000000002</v>
      </c>
      <c r="AC138" t="s">
        <v>849</v>
      </c>
      <c r="AD138" t="s">
        <v>436</v>
      </c>
      <c r="AE138">
        <v>65</v>
      </c>
      <c r="AF138">
        <v>178073.32</v>
      </c>
      <c r="AG138">
        <v>0</v>
      </c>
      <c r="AH138">
        <v>178073.32</v>
      </c>
      <c r="AI138">
        <v>141364.31</v>
      </c>
      <c r="AJ138" t="s">
        <v>850</v>
      </c>
    </row>
    <row r="139" spans="2:36" x14ac:dyDescent="0.2">
      <c r="B139" s="68"/>
      <c r="C139" s="69"/>
      <c r="D139" s="195" t="s">
        <v>51</v>
      </c>
      <c r="E139" s="127" t="s">
        <v>445</v>
      </c>
      <c r="F139" s="196"/>
      <c r="G139" s="196"/>
      <c r="H139" s="198">
        <v>65</v>
      </c>
      <c r="I139" s="201">
        <f>'Vykazy HELIOS'!D139/1000</f>
        <v>0</v>
      </c>
      <c r="J139" s="201">
        <f>'Vykazy HELIOS'!E139/1000</f>
        <v>0</v>
      </c>
      <c r="K139" s="201">
        <f>'Vykazy HELIOS'!F139/1000</f>
        <v>0</v>
      </c>
      <c r="L139" s="201">
        <f>'Vykazy HELIOS'!G139/1000</f>
        <v>0</v>
      </c>
      <c r="M139" s="201">
        <f>'Vykazy HELIOS'!H139/1000</f>
        <v>0</v>
      </c>
      <c r="N139" s="74">
        <f>'Vykazy HELIOS'!I139/1000</f>
        <v>0</v>
      </c>
      <c r="O139" s="74">
        <f>'Vykazy HELIOS'!J139/1000</f>
        <v>0</v>
      </c>
      <c r="P139" s="74">
        <f>'Vykazy HELIOS'!K139/1000</f>
        <v>0</v>
      </c>
      <c r="Q139" s="74">
        <f>'Vykazy HELIOS'!L139/1000</f>
        <v>0</v>
      </c>
      <c r="R139" s="74">
        <f>'Vykazy HELIOS'!M139/1000</f>
        <v>0</v>
      </c>
      <c r="S139" s="74">
        <f>'Vykazy HELIOS'!N139/1000</f>
        <v>0</v>
      </c>
      <c r="T139" s="74">
        <f>'Vykazy HELIOS'!O139/1000</f>
        <v>0</v>
      </c>
      <c r="U139" s="74">
        <f>'Vykazy HELIOS'!P139/1000</f>
        <v>0</v>
      </c>
      <c r="V139" s="74">
        <f>'Vykazy HELIOS'!Q139/1000</f>
        <v>0</v>
      </c>
      <c r="W139" s="74">
        <f>'Vykazy HELIOS'!R139/1000</f>
        <v>0</v>
      </c>
      <c r="X139" s="74">
        <f>'Vykazy HELIOS'!S139/1000</f>
        <v>0</v>
      </c>
      <c r="Y139" s="74">
        <f>'Vykazy HELIOS'!T139/1000</f>
        <v>0</v>
      </c>
      <c r="Z139" s="74">
        <f>'Vykazy HELIOS'!U139/1000</f>
        <v>0</v>
      </c>
      <c r="AC139" t="s">
        <v>851</v>
      </c>
      <c r="AD139" t="s">
        <v>429</v>
      </c>
      <c r="AE139">
        <v>66</v>
      </c>
      <c r="AF139">
        <v>476964</v>
      </c>
      <c r="AG139">
        <v>0</v>
      </c>
      <c r="AH139">
        <v>476964</v>
      </c>
      <c r="AI139">
        <v>3487144.45</v>
      </c>
      <c r="AJ139" t="s">
        <v>835</v>
      </c>
    </row>
    <row r="140" spans="2:36" x14ac:dyDescent="0.2">
      <c r="B140" s="185"/>
      <c r="C140" s="176"/>
      <c r="D140" s="185" t="s">
        <v>52</v>
      </c>
      <c r="E140" s="176" t="s">
        <v>446</v>
      </c>
      <c r="F140" s="177"/>
      <c r="G140" s="177"/>
      <c r="H140" s="199">
        <v>66</v>
      </c>
      <c r="I140" s="177">
        <f>'Vykazy HELIOS'!D140/1000</f>
        <v>0</v>
      </c>
      <c r="J140" s="177">
        <f>'Vykazy HELIOS'!E140/1000</f>
        <v>0</v>
      </c>
      <c r="K140" s="177">
        <f>'Vykazy HELIOS'!F140/1000</f>
        <v>0</v>
      </c>
      <c r="L140" s="177">
        <f>'Vykazy HELIOS'!G140/1000</f>
        <v>-20.574259999999999</v>
      </c>
      <c r="M140" s="177">
        <f>'Vykazy HELIOS'!H140/1000</f>
        <v>0</v>
      </c>
      <c r="N140" s="177">
        <f>'Vykazy HELIOS'!I140/1000</f>
        <v>68.968570000000014</v>
      </c>
      <c r="O140" s="177">
        <f>'Vykazy HELIOS'!J140/1000</f>
        <v>0</v>
      </c>
      <c r="P140" s="177">
        <f>'Vykazy HELIOS'!K140/1000</f>
        <v>0</v>
      </c>
      <c r="Q140" s="177">
        <f>'Vykazy HELIOS'!L140/1000</f>
        <v>0</v>
      </c>
      <c r="R140" s="177">
        <f>'Vykazy HELIOS'!M140/1000</f>
        <v>52.017000000000003</v>
      </c>
      <c r="S140" s="177">
        <f>'Vykazy HELIOS'!N140/1000</f>
        <v>1844.67273</v>
      </c>
      <c r="T140" s="177">
        <f>'Vykazy HELIOS'!O140/1000</f>
        <v>1584.06943</v>
      </c>
      <c r="U140" s="177">
        <f>'Vykazy HELIOS'!P140/1000</f>
        <v>1271.7877599999999</v>
      </c>
      <c r="V140" s="177">
        <f>'Vykazy HELIOS'!Q140/1000</f>
        <v>1229.1576299999999</v>
      </c>
      <c r="W140" s="177">
        <f>'Vykazy HELIOS'!R140/1000</f>
        <v>1306.42571</v>
      </c>
      <c r="X140" s="177">
        <f>'Vykazy HELIOS'!S140/1000</f>
        <v>1695.2609499999999</v>
      </c>
      <c r="Y140" s="177">
        <f>'Vykazy HELIOS'!T140/1000</f>
        <v>4227.2869600000004</v>
      </c>
      <c r="Z140" s="177">
        <f>'Vykazy HELIOS'!U140/1000</f>
        <v>741.05326000000002</v>
      </c>
      <c r="AC140" t="s">
        <v>852</v>
      </c>
      <c r="AD140" t="s">
        <v>76</v>
      </c>
      <c r="AE140">
        <v>67</v>
      </c>
      <c r="AF140">
        <v>2821075.31</v>
      </c>
      <c r="AG140">
        <v>0</v>
      </c>
      <c r="AH140">
        <v>2821075.31</v>
      </c>
      <c r="AI140">
        <v>563330.38</v>
      </c>
      <c r="AJ140" t="s">
        <v>837</v>
      </c>
    </row>
    <row r="141" spans="2:36" x14ac:dyDescent="0.2">
      <c r="F141" s="7"/>
      <c r="G141" s="7"/>
      <c r="H141" s="7"/>
      <c r="AC141" t="s">
        <v>73</v>
      </c>
      <c r="AD141" t="s">
        <v>80</v>
      </c>
      <c r="AE141">
        <v>72</v>
      </c>
      <c r="AF141">
        <v>0</v>
      </c>
      <c r="AG141">
        <v>0</v>
      </c>
      <c r="AH141">
        <v>0</v>
      </c>
      <c r="AI141">
        <v>0</v>
      </c>
      <c r="AJ141" t="s">
        <v>853</v>
      </c>
    </row>
    <row r="142" spans="2:36" ht="3" customHeight="1" x14ac:dyDescent="0.2">
      <c r="F142" s="7"/>
      <c r="G142" s="7"/>
      <c r="H142" s="7"/>
      <c r="AC142" t="s">
        <v>854</v>
      </c>
      <c r="AD142" t="s">
        <v>773</v>
      </c>
      <c r="AE142">
        <v>73</v>
      </c>
      <c r="AF142">
        <v>0</v>
      </c>
      <c r="AG142">
        <v>0</v>
      </c>
      <c r="AH142">
        <v>0</v>
      </c>
      <c r="AI142">
        <v>0</v>
      </c>
      <c r="AJ142" t="s">
        <v>774</v>
      </c>
    </row>
    <row r="143" spans="2:36" ht="12" thickBot="1" x14ac:dyDescent="0.25">
      <c r="B143" s="63"/>
      <c r="C143" s="64"/>
      <c r="D143" s="65" t="s">
        <v>82</v>
      </c>
      <c r="E143" s="66"/>
      <c r="F143" s="66"/>
      <c r="G143" s="343" t="s">
        <v>872</v>
      </c>
      <c r="H143" s="163" t="s">
        <v>342</v>
      </c>
      <c r="I143" s="67">
        <f t="shared" ref="I143:N143" si="190">I74</f>
        <v>2007</v>
      </c>
      <c r="J143" s="67">
        <f t="shared" si="190"/>
        <v>2008</v>
      </c>
      <c r="K143" s="67">
        <f t="shared" si="190"/>
        <v>2009</v>
      </c>
      <c r="L143" s="67">
        <f t="shared" si="190"/>
        <v>2010</v>
      </c>
      <c r="M143" s="67">
        <f t="shared" si="190"/>
        <v>2011</v>
      </c>
      <c r="N143" s="67">
        <f t="shared" si="190"/>
        <v>2012</v>
      </c>
      <c r="O143" s="67">
        <f t="shared" ref="O143:P143" si="191">O74</f>
        <v>2013</v>
      </c>
      <c r="P143" s="67">
        <f t="shared" si="191"/>
        <v>2014</v>
      </c>
      <c r="Q143" s="67">
        <f t="shared" ref="Q143:R143" si="192">Q74</f>
        <v>2015</v>
      </c>
      <c r="R143" s="67">
        <f t="shared" si="192"/>
        <v>2016</v>
      </c>
      <c r="S143" s="67">
        <f t="shared" ref="S143:T143" si="193">S74</f>
        <v>2017</v>
      </c>
      <c r="T143" s="67">
        <f t="shared" si="193"/>
        <v>2018</v>
      </c>
      <c r="U143" s="67">
        <f t="shared" ref="U143:V143" si="194">U74</f>
        <v>2019</v>
      </c>
      <c r="V143" s="67">
        <f t="shared" si="194"/>
        <v>2020</v>
      </c>
      <c r="W143" s="67">
        <f t="shared" ref="W143:X143" si="195">W74</f>
        <v>2021</v>
      </c>
      <c r="X143" s="67">
        <f t="shared" si="195"/>
        <v>2022</v>
      </c>
      <c r="Y143" s="67">
        <f t="shared" ref="Y143:Z143" si="196">Y74</f>
        <v>2023</v>
      </c>
      <c r="Z143" s="67">
        <f t="shared" si="196"/>
        <v>2024</v>
      </c>
      <c r="AC143" t="s">
        <v>855</v>
      </c>
      <c r="AD143" t="s">
        <v>856</v>
      </c>
      <c r="AE143">
        <v>74</v>
      </c>
      <c r="AF143">
        <v>0</v>
      </c>
      <c r="AG143">
        <v>0</v>
      </c>
      <c r="AH143">
        <v>0</v>
      </c>
      <c r="AI143">
        <v>0</v>
      </c>
      <c r="AJ143" t="s">
        <v>857</v>
      </c>
    </row>
    <row r="144" spans="2:36" x14ac:dyDescent="0.2">
      <c r="B144" s="37"/>
      <c r="C144" s="75"/>
      <c r="D144" s="138" t="s">
        <v>105</v>
      </c>
      <c r="E144" s="76"/>
      <c r="F144" s="49"/>
      <c r="G144" s="344" t="s">
        <v>872</v>
      </c>
      <c r="H144" s="168">
        <v>67</v>
      </c>
      <c r="I144" s="77">
        <f t="shared" ref="I144:N144" si="197">I145+I162+I195</f>
        <v>49426</v>
      </c>
      <c r="J144" s="77">
        <f t="shared" si="197"/>
        <v>73665</v>
      </c>
      <c r="K144" s="77">
        <f t="shared" si="197"/>
        <v>87129.921359999993</v>
      </c>
      <c r="L144" s="77">
        <f t="shared" si="197"/>
        <v>89499.517160000003</v>
      </c>
      <c r="M144" s="77">
        <f t="shared" si="197"/>
        <v>101934.29628999997</v>
      </c>
      <c r="N144" s="78">
        <f t="shared" si="197"/>
        <v>138704.02219999995</v>
      </c>
      <c r="O144" s="78">
        <f t="shared" ref="O144:P144" si="198">O145+O162+O195</f>
        <v>181861.67881999994</v>
      </c>
      <c r="P144" s="78">
        <f t="shared" si="198"/>
        <v>196712.00930000003</v>
      </c>
      <c r="Q144" s="78">
        <f t="shared" ref="Q144:R144" si="199">Q145+Q162+Q195</f>
        <v>265014.53330999991</v>
      </c>
      <c r="R144" s="78">
        <f t="shared" si="199"/>
        <v>305846.13731000002</v>
      </c>
      <c r="S144" s="78">
        <f t="shared" ref="S144:T144" si="200">S145+S162+S195</f>
        <v>280447.85970999993</v>
      </c>
      <c r="T144" s="78">
        <f t="shared" si="200"/>
        <v>259537.78091999999</v>
      </c>
      <c r="U144" s="78">
        <f t="shared" ref="U144:V144" si="201">U145+U162+U195</f>
        <v>214822.74926000007</v>
      </c>
      <c r="V144" s="78">
        <f t="shared" si="201"/>
        <v>187804.15964</v>
      </c>
      <c r="W144" s="78">
        <f t="shared" ref="W144:X144" si="202">W145+W162+W195</f>
        <v>318492.73157</v>
      </c>
      <c r="X144" s="78">
        <f t="shared" si="202"/>
        <v>310269.47956000001</v>
      </c>
      <c r="Y144" s="78">
        <f t="shared" ref="Y144:Z144" si="203">Y145+Y162+Y195</f>
        <v>259228.00270000001</v>
      </c>
      <c r="Z144" s="78">
        <f t="shared" si="203"/>
        <v>232313.18035999997</v>
      </c>
      <c r="AC144" t="s">
        <v>77</v>
      </c>
      <c r="AD144" t="s">
        <v>858</v>
      </c>
      <c r="AE144">
        <v>75</v>
      </c>
      <c r="AF144">
        <v>38873643.630000003</v>
      </c>
      <c r="AG144">
        <v>0</v>
      </c>
      <c r="AH144">
        <v>38873643.630000003</v>
      </c>
      <c r="AI144">
        <v>26187521.699999999</v>
      </c>
      <c r="AJ144" t="s">
        <v>859</v>
      </c>
    </row>
    <row r="145" spans="2:36" x14ac:dyDescent="0.2">
      <c r="B145" s="68" t="s">
        <v>2</v>
      </c>
      <c r="C145" s="69"/>
      <c r="D145" s="70" t="s">
        <v>164</v>
      </c>
      <c r="E145" s="71"/>
      <c r="F145" s="72"/>
      <c r="G145" s="72" t="s">
        <v>873</v>
      </c>
      <c r="H145" s="169">
        <v>68</v>
      </c>
      <c r="I145" s="73">
        <f t="shared" ref="I145:N145" si="204">I146+I150+I155+I158+I161</f>
        <v>4534</v>
      </c>
      <c r="J145" s="73">
        <f t="shared" si="204"/>
        <v>14486</v>
      </c>
      <c r="K145" s="73">
        <f t="shared" si="204"/>
        <v>24694.073769999992</v>
      </c>
      <c r="L145" s="73">
        <f t="shared" si="204"/>
        <v>25059.034540000001</v>
      </c>
      <c r="M145" s="73">
        <f t="shared" si="204"/>
        <v>36005.823239999983</v>
      </c>
      <c r="N145" s="74">
        <f t="shared" si="204"/>
        <v>39471.542819999951</v>
      </c>
      <c r="O145" s="74">
        <f t="shared" ref="O145:P145" si="205">O146+O150+O155+O158+O161</f>
        <v>83164.570869999938</v>
      </c>
      <c r="P145" s="74">
        <f t="shared" si="205"/>
        <v>103304.29700000004</v>
      </c>
      <c r="Q145" s="74">
        <f t="shared" ref="Q145:R145" si="206">Q146+Q150+Q155+Q158+Q161</f>
        <v>136768.54196999993</v>
      </c>
      <c r="R145" s="74">
        <f t="shared" si="206"/>
        <v>148048.28695999994</v>
      </c>
      <c r="S145" s="74">
        <f t="shared" ref="S145:T145" si="207">S146+S150+S155+S158+S161</f>
        <v>139164.21812999996</v>
      </c>
      <c r="T145" s="74">
        <f t="shared" si="207"/>
        <v>153404.64738999997</v>
      </c>
      <c r="U145" s="74">
        <f t="shared" ref="U145:V145" si="208">U146+U150+U155+U158+U161</f>
        <v>155086.98692000008</v>
      </c>
      <c r="V145" s="74">
        <f t="shared" si="208"/>
        <v>151054.85835999998</v>
      </c>
      <c r="W145" s="74">
        <f t="shared" ref="W145:X145" si="209">W146+W150+W155+W158+W161</f>
        <v>151086.93193000002</v>
      </c>
      <c r="X145" s="74">
        <f t="shared" si="209"/>
        <v>151281.90726000001</v>
      </c>
      <c r="Y145" s="74">
        <f t="shared" ref="Y145:Z145" si="210">Y146+Y150+Y155+Y158+Y161</f>
        <v>148922.34822000001</v>
      </c>
      <c r="Z145" s="74">
        <f t="shared" si="210"/>
        <v>154074.76870999997</v>
      </c>
      <c r="AC145" t="s">
        <v>860</v>
      </c>
      <c r="AD145" t="s">
        <v>861</v>
      </c>
      <c r="AE145">
        <v>76</v>
      </c>
      <c r="AF145">
        <v>20921483.789999999</v>
      </c>
      <c r="AG145">
        <v>0</v>
      </c>
      <c r="AH145">
        <v>20921483.789999999</v>
      </c>
      <c r="AI145">
        <v>22645381.640000001</v>
      </c>
      <c r="AJ145" t="s">
        <v>862</v>
      </c>
    </row>
    <row r="146" spans="2:36" x14ac:dyDescent="0.2">
      <c r="B146" s="52" t="s">
        <v>83</v>
      </c>
      <c r="C146" s="57"/>
      <c r="D146" s="79" t="s">
        <v>163</v>
      </c>
      <c r="E146" s="80"/>
      <c r="F146" s="53"/>
      <c r="G146" s="53"/>
      <c r="H146" s="170">
        <v>69</v>
      </c>
      <c r="I146" s="54">
        <f t="shared" ref="I146:N146" si="211">SUM(I147:I149)</f>
        <v>2436</v>
      </c>
      <c r="J146" s="54">
        <f t="shared" si="211"/>
        <v>2436</v>
      </c>
      <c r="K146" s="54">
        <f t="shared" si="211"/>
        <v>2436</v>
      </c>
      <c r="L146" s="54">
        <f t="shared" si="211"/>
        <v>2436</v>
      </c>
      <c r="M146" s="54">
        <f t="shared" si="211"/>
        <v>2436</v>
      </c>
      <c r="N146" s="55">
        <f t="shared" si="211"/>
        <v>2436</v>
      </c>
      <c r="O146" s="55">
        <f t="shared" ref="O146:P146" si="212">SUM(O147:O149)</f>
        <v>2436</v>
      </c>
      <c r="P146" s="55">
        <f t="shared" si="212"/>
        <v>2436</v>
      </c>
      <c r="Q146" s="55">
        <f t="shared" ref="Q146:R146" si="213">SUM(Q147:Q149)</f>
        <v>2436</v>
      </c>
      <c r="R146" s="55">
        <f t="shared" si="213"/>
        <v>2436</v>
      </c>
      <c r="S146" s="55">
        <f t="shared" ref="S146:T146" si="214">SUM(S147:S149)</f>
        <v>2436</v>
      </c>
      <c r="T146" s="55">
        <f t="shared" si="214"/>
        <v>2436</v>
      </c>
      <c r="U146" s="55">
        <f t="shared" ref="U146:V146" si="215">SUM(U147:U149)</f>
        <v>2436</v>
      </c>
      <c r="V146" s="55">
        <f t="shared" si="215"/>
        <v>2436</v>
      </c>
      <c r="W146" s="55">
        <f t="shared" ref="W146:X146" si="216">SUM(W147:W149)</f>
        <v>2436</v>
      </c>
      <c r="X146" s="55">
        <f t="shared" si="216"/>
        <v>2436</v>
      </c>
      <c r="Y146" s="55">
        <f t="shared" ref="Y146:Z146" si="217">SUM(Y147:Y149)</f>
        <v>2436</v>
      </c>
      <c r="Z146" s="55">
        <f t="shared" si="217"/>
        <v>2436</v>
      </c>
      <c r="AC146" t="s">
        <v>863</v>
      </c>
      <c r="AD146" t="s">
        <v>864</v>
      </c>
      <c r="AE146">
        <v>77</v>
      </c>
      <c r="AF146">
        <v>17952159.84</v>
      </c>
      <c r="AG146">
        <v>0</v>
      </c>
      <c r="AH146">
        <v>17952159.84</v>
      </c>
      <c r="AI146">
        <v>3542140.06</v>
      </c>
      <c r="AJ146" t="s">
        <v>865</v>
      </c>
    </row>
    <row r="147" spans="2:36" x14ac:dyDescent="0.2">
      <c r="B147" s="31" t="s">
        <v>84</v>
      </c>
      <c r="D147" s="203" t="s">
        <v>49</v>
      </c>
      <c r="E147" s="173" t="s">
        <v>163</v>
      </c>
      <c r="F147" s="174"/>
      <c r="G147" s="174"/>
      <c r="H147" s="171">
        <v>70</v>
      </c>
      <c r="I147" s="104">
        <f>'Vykazy HELIOS'!D144/1000</f>
        <v>2436</v>
      </c>
      <c r="J147" s="104">
        <f>'Vykazy HELIOS'!E144/1000</f>
        <v>2436</v>
      </c>
      <c r="K147" s="104">
        <f>'Vykazy HELIOS'!F144/1000</f>
        <v>2436</v>
      </c>
      <c r="L147" s="104">
        <f>'Vykazy HELIOS'!G144/1000</f>
        <v>2436</v>
      </c>
      <c r="M147" s="104">
        <f>'Vykazy HELIOS'!H144/1000</f>
        <v>2436</v>
      </c>
      <c r="N147" s="123">
        <f>'Vykazy HELIOS'!I144/1000</f>
        <v>2436</v>
      </c>
      <c r="O147" s="123">
        <f>'Vykazy HELIOS'!J144/1000</f>
        <v>2436</v>
      </c>
      <c r="P147" s="123">
        <f>'Vykazy HELIOS'!K144/1000</f>
        <v>2436</v>
      </c>
      <c r="Q147" s="123">
        <f>'Vykazy HELIOS'!L144/1000</f>
        <v>2436</v>
      </c>
      <c r="R147" s="123">
        <f>'Vykazy HELIOS'!M144/1000</f>
        <v>2436</v>
      </c>
      <c r="S147" s="123">
        <f>'Vykazy HELIOS'!N144/1000</f>
        <v>2436</v>
      </c>
      <c r="T147" s="123">
        <f>'Vykazy HELIOS'!O144/1000</f>
        <v>2436</v>
      </c>
      <c r="U147" s="123">
        <f>'Vykazy HELIOS'!P144/1000</f>
        <v>2436</v>
      </c>
      <c r="V147" s="123">
        <f>'Vykazy HELIOS'!Q144/1000</f>
        <v>2436</v>
      </c>
      <c r="W147" s="123">
        <f>'Vykazy HELIOS'!R144/1000</f>
        <v>2436</v>
      </c>
      <c r="X147" s="123">
        <f>'Vykazy HELIOS'!S144/1000</f>
        <v>2436</v>
      </c>
      <c r="Y147" s="123">
        <f>'Vykazy HELIOS'!T144/1000</f>
        <v>2436</v>
      </c>
      <c r="Z147" s="123">
        <f>'Vykazy HELIOS'!U144/1000</f>
        <v>2436</v>
      </c>
      <c r="AC147" t="s">
        <v>16</v>
      </c>
      <c r="AD147" t="s">
        <v>866</v>
      </c>
      <c r="AE147">
        <v>78</v>
      </c>
      <c r="AF147">
        <v>2144059.16</v>
      </c>
      <c r="AG147">
        <v>0</v>
      </c>
      <c r="AH147">
        <v>2144059.16</v>
      </c>
      <c r="AI147">
        <v>2213818.35</v>
      </c>
      <c r="AJ147" t="s">
        <v>867</v>
      </c>
    </row>
    <row r="148" spans="2:36" x14ac:dyDescent="0.2">
      <c r="B148" s="116"/>
      <c r="C148" s="126"/>
      <c r="D148" s="184" t="s">
        <v>490</v>
      </c>
      <c r="E148" t="s">
        <v>450</v>
      </c>
      <c r="F148" s="175"/>
      <c r="G148" s="175"/>
      <c r="H148" s="169">
        <v>71</v>
      </c>
      <c r="I148" s="114">
        <f>'Vykazy HELIOS'!D145/1000</f>
        <v>0</v>
      </c>
      <c r="J148" s="114">
        <f>'Vykazy HELIOS'!E145/1000</f>
        <v>0</v>
      </c>
      <c r="K148" s="114">
        <f>'Vykazy HELIOS'!F145/1000</f>
        <v>0</v>
      </c>
      <c r="L148" s="114">
        <f>'Vykazy HELIOS'!G145/1000</f>
        <v>0</v>
      </c>
      <c r="M148" s="114">
        <f>'Vykazy HELIOS'!H145/1000</f>
        <v>0</v>
      </c>
      <c r="N148" s="128">
        <f>'Vykazy HELIOS'!I145/1000</f>
        <v>0</v>
      </c>
      <c r="O148" s="128">
        <f>'Vykazy HELIOS'!J145/1000</f>
        <v>0</v>
      </c>
      <c r="P148" s="128">
        <f>'Vykazy HELIOS'!K145/1000</f>
        <v>0</v>
      </c>
      <c r="Q148" s="128">
        <f>'Vykazy HELIOS'!L145/1000</f>
        <v>0</v>
      </c>
      <c r="R148" s="128">
        <f>'Vykazy HELIOS'!M145/1000</f>
        <v>0</v>
      </c>
      <c r="S148" s="128">
        <f>'Vykazy HELIOS'!N145/1000</f>
        <v>0</v>
      </c>
      <c r="T148" s="128">
        <f>'Vykazy HELIOS'!O145/1000</f>
        <v>0</v>
      </c>
      <c r="U148" s="128">
        <f>'Vykazy HELIOS'!P145/1000</f>
        <v>0</v>
      </c>
      <c r="V148" s="128">
        <f>'Vykazy HELIOS'!Q145/1000</f>
        <v>0</v>
      </c>
      <c r="W148" s="128">
        <f>'Vykazy HELIOS'!R145/1000</f>
        <v>0</v>
      </c>
      <c r="X148" s="128">
        <f>'Vykazy HELIOS'!S145/1000</f>
        <v>0</v>
      </c>
      <c r="Y148" s="128">
        <f>'Vykazy HELIOS'!T145/1000</f>
        <v>0</v>
      </c>
      <c r="Z148" s="128">
        <f>'Vykazy HELIOS'!U145/1000</f>
        <v>0</v>
      </c>
      <c r="AC148" t="s">
        <v>611</v>
      </c>
      <c r="AD148" t="s">
        <v>444</v>
      </c>
      <c r="AE148">
        <v>79</v>
      </c>
      <c r="AF148">
        <v>835934.32</v>
      </c>
      <c r="AG148">
        <v>0</v>
      </c>
      <c r="AH148">
        <v>835934.32</v>
      </c>
      <c r="AI148">
        <v>518557.4</v>
      </c>
      <c r="AJ148" t="s">
        <v>868</v>
      </c>
    </row>
    <row r="149" spans="2:36" x14ac:dyDescent="0.2">
      <c r="B149" s="37"/>
      <c r="C149" s="75"/>
      <c r="D149" s="185" t="s">
        <v>52</v>
      </c>
      <c r="E149" s="176" t="s">
        <v>165</v>
      </c>
      <c r="F149" s="177"/>
      <c r="G149" s="177"/>
      <c r="H149" s="172">
        <v>72</v>
      </c>
      <c r="I149" s="107">
        <f>'Vykazy HELIOS'!D146/1000</f>
        <v>0</v>
      </c>
      <c r="J149" s="107">
        <f>'Vykazy HELIOS'!E146/1000</f>
        <v>0</v>
      </c>
      <c r="K149" s="107">
        <f>'Vykazy HELIOS'!F146/1000</f>
        <v>0</v>
      </c>
      <c r="L149" s="107">
        <f>'Vykazy HELIOS'!G146/1000</f>
        <v>0</v>
      </c>
      <c r="M149" s="107">
        <f>'Vykazy HELIOS'!H146/1000</f>
        <v>0</v>
      </c>
      <c r="N149" s="125">
        <f>'Vykazy HELIOS'!I146/1000</f>
        <v>0</v>
      </c>
      <c r="O149" s="125">
        <f>'Vykazy HELIOS'!J146/1000</f>
        <v>0</v>
      </c>
      <c r="P149" s="125">
        <f>'Vykazy HELIOS'!K146/1000</f>
        <v>0</v>
      </c>
      <c r="Q149" s="125">
        <f>'Vykazy HELIOS'!L146/1000</f>
        <v>0</v>
      </c>
      <c r="R149" s="125">
        <f>'Vykazy HELIOS'!M146/1000</f>
        <v>0</v>
      </c>
      <c r="S149" s="125">
        <f>'Vykazy HELIOS'!N146/1000</f>
        <v>0</v>
      </c>
      <c r="T149" s="125">
        <f>'Vykazy HELIOS'!O146/1000</f>
        <v>0</v>
      </c>
      <c r="U149" s="125">
        <f>'Vykazy HELIOS'!P146/1000</f>
        <v>0</v>
      </c>
      <c r="V149" s="125">
        <f>'Vykazy HELIOS'!Q146/1000</f>
        <v>0</v>
      </c>
      <c r="W149" s="125">
        <f>'Vykazy HELIOS'!R146/1000</f>
        <v>0</v>
      </c>
      <c r="X149" s="125">
        <f>'Vykazy HELIOS'!S146/1000</f>
        <v>0</v>
      </c>
      <c r="Y149" s="125">
        <f>'Vykazy HELIOS'!T146/1000</f>
        <v>0</v>
      </c>
      <c r="Z149" s="125">
        <f>'Vykazy HELIOS'!U146/1000</f>
        <v>0</v>
      </c>
      <c r="AC149" t="s">
        <v>613</v>
      </c>
      <c r="AD149" t="s">
        <v>445</v>
      </c>
      <c r="AE149">
        <v>80</v>
      </c>
      <c r="AF149">
        <v>0</v>
      </c>
      <c r="AG149">
        <v>0</v>
      </c>
      <c r="AH149">
        <v>0</v>
      </c>
      <c r="AI149">
        <v>0</v>
      </c>
      <c r="AJ149" t="s">
        <v>869</v>
      </c>
    </row>
    <row r="150" spans="2:36" x14ac:dyDescent="0.2">
      <c r="B150" s="52" t="s">
        <v>84</v>
      </c>
      <c r="C150" s="57"/>
      <c r="D150" s="79" t="s">
        <v>85</v>
      </c>
      <c r="E150" s="81"/>
      <c r="F150" s="53"/>
      <c r="G150" s="53"/>
      <c r="H150" s="170">
        <v>73</v>
      </c>
      <c r="I150" s="60">
        <f>SUM(I151:I154)</f>
        <v>2000</v>
      </c>
      <c r="J150" s="60">
        <f t="shared" ref="J150:N150" si="218">SUM(J151:J154)</f>
        <v>2000</v>
      </c>
      <c r="K150" s="60">
        <f t="shared" si="218"/>
        <v>2000</v>
      </c>
      <c r="L150" s="60">
        <f t="shared" si="218"/>
        <v>2000</v>
      </c>
      <c r="M150" s="60">
        <f t="shared" si="218"/>
        <v>2000</v>
      </c>
      <c r="N150" s="60">
        <f t="shared" si="218"/>
        <v>2000</v>
      </c>
      <c r="O150" s="60">
        <f t="shared" ref="O150:P150" si="219">SUM(O151:O154)</f>
        <v>28000</v>
      </c>
      <c r="P150" s="60">
        <f t="shared" si="219"/>
        <v>28000</v>
      </c>
      <c r="Q150" s="60">
        <f t="shared" ref="Q150:R150" si="220">SUM(Q151:Q154)</f>
        <v>34000</v>
      </c>
      <c r="R150" s="60">
        <f t="shared" si="220"/>
        <v>34000</v>
      </c>
      <c r="S150" s="60">
        <f t="shared" ref="S150:T150" si="221">SUM(S151:S154)</f>
        <v>20000</v>
      </c>
      <c r="T150" s="60">
        <f t="shared" si="221"/>
        <v>20000</v>
      </c>
      <c r="U150" s="60">
        <f t="shared" ref="U150:V150" si="222">SUM(U151:U154)</f>
        <v>4900</v>
      </c>
      <c r="V150" s="60">
        <f t="shared" si="222"/>
        <v>0</v>
      </c>
      <c r="W150" s="60">
        <f t="shared" ref="W150:X150" si="223">SUM(W151:W154)</f>
        <v>0</v>
      </c>
      <c r="X150" s="60">
        <f t="shared" si="223"/>
        <v>0</v>
      </c>
      <c r="Y150" s="60">
        <f t="shared" ref="Y150:Z150" si="224">SUM(Y151:Y154)</f>
        <v>0</v>
      </c>
      <c r="Z150" s="60">
        <f t="shared" si="224"/>
        <v>0</v>
      </c>
      <c r="AC150" t="s">
        <v>870</v>
      </c>
      <c r="AD150" t="s">
        <v>446</v>
      </c>
      <c r="AE150">
        <v>81</v>
      </c>
      <c r="AF150">
        <v>1308124.8400000001</v>
      </c>
      <c r="AG150">
        <v>0</v>
      </c>
      <c r="AH150">
        <v>1308124.8400000001</v>
      </c>
      <c r="AI150">
        <v>1695260.95</v>
      </c>
      <c r="AJ150" t="s">
        <v>871</v>
      </c>
    </row>
    <row r="151" spans="2:36" x14ac:dyDescent="0.2">
      <c r="B151" s="183" t="s">
        <v>84</v>
      </c>
      <c r="C151" s="174"/>
      <c r="D151" s="173" t="s">
        <v>49</v>
      </c>
      <c r="E151" s="173" t="s">
        <v>86</v>
      </c>
      <c r="F151" s="174"/>
      <c r="G151" s="175"/>
      <c r="H151" s="213">
        <v>74</v>
      </c>
      <c r="I151" s="114">
        <f>'Vykazy HELIOS'!D148/1000</f>
        <v>0</v>
      </c>
      <c r="J151" s="114">
        <f>'Vykazy HELIOS'!E148/1000</f>
        <v>0</v>
      </c>
      <c r="K151" s="114">
        <f>'Vykazy HELIOS'!F148/1000</f>
        <v>0</v>
      </c>
      <c r="L151" s="114">
        <f>'Vykazy HELIOS'!G148/1000</f>
        <v>0</v>
      </c>
      <c r="M151" s="114">
        <f>'Vykazy HELIOS'!H148/1000</f>
        <v>0</v>
      </c>
      <c r="N151" s="128">
        <f>'Vykazy HELIOS'!I148/1000</f>
        <v>0</v>
      </c>
      <c r="O151" s="128">
        <f>'Vykazy HELIOS'!J148/1000</f>
        <v>0</v>
      </c>
      <c r="P151" s="128">
        <f>'Vykazy HELIOS'!K148/1000</f>
        <v>0</v>
      </c>
      <c r="Q151" s="128">
        <f>'Vykazy HELIOS'!L148/1000</f>
        <v>0</v>
      </c>
      <c r="R151" s="128">
        <f>'Vykazy HELIOS'!M148/1000</f>
        <v>0</v>
      </c>
      <c r="S151" s="128">
        <f>'Vykazy HELIOS'!N148/1000</f>
        <v>0</v>
      </c>
      <c r="T151" s="128">
        <f>'Vykazy HELIOS'!O148/1000</f>
        <v>0</v>
      </c>
      <c r="U151" s="128">
        <f>'Vykazy HELIOS'!P148/1000</f>
        <v>0</v>
      </c>
      <c r="V151" s="128">
        <f>'Vykazy HELIOS'!Q148/1000</f>
        <v>0</v>
      </c>
      <c r="W151" s="128">
        <f>'Vykazy HELIOS'!R148/1000</f>
        <v>0</v>
      </c>
      <c r="X151" s="128">
        <f>'Vykazy HELIOS'!S148/1000</f>
        <v>0</v>
      </c>
      <c r="Y151" s="128">
        <f>'Vykazy HELIOS'!T148/1000</f>
        <v>0</v>
      </c>
      <c r="Z151" s="128">
        <f>'Vykazy HELIOS'!U148/1000</f>
        <v>0</v>
      </c>
      <c r="AD151" t="s">
        <v>447</v>
      </c>
      <c r="AE151">
        <v>82</v>
      </c>
      <c r="AF151">
        <v>982787311.85000002</v>
      </c>
      <c r="AG151">
        <v>-691246188.47000003</v>
      </c>
      <c r="AH151">
        <v>291541123.38</v>
      </c>
      <c r="AI151">
        <v>309977177.86000001</v>
      </c>
      <c r="AJ151" t="s">
        <v>872</v>
      </c>
    </row>
    <row r="152" spans="2:36" x14ac:dyDescent="0.2">
      <c r="B152" s="184"/>
      <c r="C152" s="175"/>
      <c r="D152" t="s">
        <v>51</v>
      </c>
      <c r="E152" t="s">
        <v>87</v>
      </c>
      <c r="F152" s="175"/>
      <c r="G152" s="175"/>
      <c r="H152" s="213">
        <v>75</v>
      </c>
      <c r="I152" s="114">
        <f>'Vykazy HELIOS'!D149/1000</f>
        <v>2000</v>
      </c>
      <c r="J152" s="114">
        <f>'Vykazy HELIOS'!E149/1000</f>
        <v>2000</v>
      </c>
      <c r="K152" s="114">
        <f>'Vykazy HELIOS'!F149/1000</f>
        <v>2000</v>
      </c>
      <c r="L152" s="114">
        <f>'Vykazy HELIOS'!G149/1000</f>
        <v>2000</v>
      </c>
      <c r="M152" s="114">
        <f>'Vykazy HELIOS'!H149/1000</f>
        <v>2000</v>
      </c>
      <c r="N152" s="128">
        <f>'Vykazy HELIOS'!I149/1000</f>
        <v>2000</v>
      </c>
      <c r="O152" s="128">
        <f>'Vykazy HELIOS'!J149/1000</f>
        <v>28000</v>
      </c>
      <c r="P152" s="128">
        <f>'Vykazy HELIOS'!K149/1000</f>
        <v>28000</v>
      </c>
      <c r="Q152" s="128">
        <f>'Vykazy HELIOS'!L149/1000</f>
        <v>34000</v>
      </c>
      <c r="R152" s="128">
        <f>'Vykazy HELIOS'!M149/1000</f>
        <v>34000</v>
      </c>
      <c r="S152" s="128">
        <f>'Vykazy HELIOS'!N149/1000</f>
        <v>20000</v>
      </c>
      <c r="T152" s="128">
        <f>'Vykazy HELIOS'!O149/1000</f>
        <v>20000</v>
      </c>
      <c r="U152" s="128">
        <f>'Vykazy HELIOS'!P149/1000</f>
        <v>4900</v>
      </c>
      <c r="V152" s="128">
        <f>'Vykazy HELIOS'!Q149/1000</f>
        <v>0</v>
      </c>
      <c r="W152" s="128">
        <f>'Vykazy HELIOS'!R149/1000</f>
        <v>0</v>
      </c>
      <c r="X152" s="128">
        <f>'Vykazy HELIOS'!S149/1000</f>
        <v>0</v>
      </c>
      <c r="Y152" s="128">
        <f>'Vykazy HELIOS'!T149/1000</f>
        <v>0</v>
      </c>
      <c r="Z152" s="128">
        <f>'Vykazy HELIOS'!U149/1000</f>
        <v>0</v>
      </c>
      <c r="AC152" t="s">
        <v>2</v>
      </c>
      <c r="AD152" t="s">
        <v>212</v>
      </c>
      <c r="AE152">
        <v>83</v>
      </c>
      <c r="AF152">
        <v>876986821.13</v>
      </c>
      <c r="AG152">
        <v>-691246188.47000003</v>
      </c>
      <c r="AH152">
        <v>185740632.66</v>
      </c>
      <c r="AI152">
        <v>151281907.25999999</v>
      </c>
      <c r="AJ152" t="s">
        <v>873</v>
      </c>
    </row>
    <row r="153" spans="2:36" x14ac:dyDescent="0.2">
      <c r="B153" s="184"/>
      <c r="C153" s="175"/>
      <c r="D153" t="s">
        <v>52</v>
      </c>
      <c r="E153" t="s">
        <v>454</v>
      </c>
      <c r="F153" s="175"/>
      <c r="G153" s="175"/>
      <c r="H153" s="213">
        <v>76</v>
      </c>
      <c r="I153" s="114">
        <f>'Vykazy HELIOS'!D150/1000</f>
        <v>0</v>
      </c>
      <c r="J153" s="114">
        <f>'Vykazy HELIOS'!E150/1000</f>
        <v>0</v>
      </c>
      <c r="K153" s="114">
        <f>'Vykazy HELIOS'!F150/1000</f>
        <v>0</v>
      </c>
      <c r="L153" s="114">
        <f>'Vykazy HELIOS'!G150/1000</f>
        <v>0</v>
      </c>
      <c r="M153" s="114">
        <f>'Vykazy HELIOS'!H150/1000</f>
        <v>0</v>
      </c>
      <c r="N153" s="128">
        <f>'Vykazy HELIOS'!I150/1000</f>
        <v>0</v>
      </c>
      <c r="O153" s="128">
        <f>'Vykazy HELIOS'!J150/1000</f>
        <v>0</v>
      </c>
      <c r="P153" s="128">
        <f>'Vykazy HELIOS'!K150/1000</f>
        <v>0</v>
      </c>
      <c r="Q153" s="128">
        <f>'Vykazy HELIOS'!L150/1000</f>
        <v>0</v>
      </c>
      <c r="R153" s="128">
        <f>'Vykazy HELIOS'!M150/1000</f>
        <v>0</v>
      </c>
      <c r="S153" s="128">
        <f>'Vykazy HELIOS'!N150/1000</f>
        <v>0</v>
      </c>
      <c r="T153" s="128">
        <f>'Vykazy HELIOS'!O150/1000</f>
        <v>0</v>
      </c>
      <c r="U153" s="128">
        <f>'Vykazy HELIOS'!P150/1000</f>
        <v>0</v>
      </c>
      <c r="V153" s="128">
        <f>'Vykazy HELIOS'!Q150/1000</f>
        <v>0</v>
      </c>
      <c r="W153" s="128">
        <f>'Vykazy HELIOS'!R150/1000</f>
        <v>0</v>
      </c>
      <c r="X153" s="128">
        <f>'Vykazy HELIOS'!S150/1000</f>
        <v>0</v>
      </c>
      <c r="Y153" s="128">
        <f>'Vykazy HELIOS'!T150/1000</f>
        <v>0</v>
      </c>
      <c r="Z153" s="128">
        <f>'Vykazy HELIOS'!U150/1000</f>
        <v>0</v>
      </c>
      <c r="AC153" t="s">
        <v>83</v>
      </c>
      <c r="AD153" t="s">
        <v>163</v>
      </c>
      <c r="AE153">
        <v>84</v>
      </c>
      <c r="AF153">
        <v>2436000</v>
      </c>
      <c r="AG153">
        <v>0</v>
      </c>
      <c r="AH153">
        <v>2436000</v>
      </c>
      <c r="AI153">
        <v>2436000</v>
      </c>
      <c r="AJ153" t="s">
        <v>874</v>
      </c>
    </row>
    <row r="154" spans="2:36" x14ac:dyDescent="0.2">
      <c r="B154" s="185"/>
      <c r="C154" s="177"/>
      <c r="D154" s="176" t="s">
        <v>54</v>
      </c>
      <c r="E154" s="176" t="s">
        <v>455</v>
      </c>
      <c r="F154" s="177"/>
      <c r="G154" s="175"/>
      <c r="H154" s="213">
        <v>77</v>
      </c>
      <c r="I154" s="114">
        <f>'Vykazy HELIOS'!D151/1000</f>
        <v>0</v>
      </c>
      <c r="J154" s="114">
        <f>'Vykazy HELIOS'!E151/1000</f>
        <v>0</v>
      </c>
      <c r="K154" s="114">
        <f>'Vykazy HELIOS'!F151/1000</f>
        <v>0</v>
      </c>
      <c r="L154" s="114">
        <f>'Vykazy HELIOS'!G151/1000</f>
        <v>0</v>
      </c>
      <c r="M154" s="114">
        <f>'Vykazy HELIOS'!H151/1000</f>
        <v>0</v>
      </c>
      <c r="N154" s="128">
        <f>'Vykazy HELIOS'!I151/1000</f>
        <v>0</v>
      </c>
      <c r="O154" s="128">
        <f>'Vykazy HELIOS'!J151/1000</f>
        <v>0</v>
      </c>
      <c r="P154" s="128">
        <f>'Vykazy HELIOS'!K151/1000</f>
        <v>0</v>
      </c>
      <c r="Q154" s="128">
        <f>'Vykazy HELIOS'!L151/1000</f>
        <v>0</v>
      </c>
      <c r="R154" s="128">
        <f>'Vykazy HELIOS'!M151/1000</f>
        <v>0</v>
      </c>
      <c r="S154" s="128">
        <f>'Vykazy HELIOS'!N151/1000</f>
        <v>0</v>
      </c>
      <c r="T154" s="128">
        <f>'Vykazy HELIOS'!O151/1000</f>
        <v>0</v>
      </c>
      <c r="U154" s="128">
        <f>'Vykazy HELIOS'!P151/1000</f>
        <v>0</v>
      </c>
      <c r="V154" s="128">
        <f>'Vykazy HELIOS'!Q151/1000</f>
        <v>0</v>
      </c>
      <c r="W154" s="128">
        <f>'Vykazy HELIOS'!R151/1000</f>
        <v>0</v>
      </c>
      <c r="X154" s="128">
        <f>'Vykazy HELIOS'!S151/1000</f>
        <v>0</v>
      </c>
      <c r="Y154" s="128">
        <f>'Vykazy HELIOS'!T151/1000</f>
        <v>0</v>
      </c>
      <c r="Z154" s="128">
        <f>'Vykazy HELIOS'!U151/1000</f>
        <v>0</v>
      </c>
      <c r="AC154" t="s">
        <v>875</v>
      </c>
      <c r="AD154" t="s">
        <v>163</v>
      </c>
      <c r="AE154">
        <v>85</v>
      </c>
      <c r="AF154">
        <v>2436000</v>
      </c>
      <c r="AG154">
        <v>0</v>
      </c>
      <c r="AH154">
        <v>2436000</v>
      </c>
      <c r="AI154">
        <v>2436000</v>
      </c>
      <c r="AJ154" t="s">
        <v>874</v>
      </c>
    </row>
    <row r="155" spans="2:36" x14ac:dyDescent="0.2">
      <c r="B155" s="52" t="s">
        <v>88</v>
      </c>
      <c r="C155" s="57"/>
      <c r="D155" s="79" t="s">
        <v>205</v>
      </c>
      <c r="E155" s="81"/>
      <c r="F155" s="53"/>
      <c r="G155" s="53"/>
      <c r="H155" s="170">
        <v>78</v>
      </c>
      <c r="I155" s="60">
        <f>SUM(I156:I157)</f>
        <v>0</v>
      </c>
      <c r="J155" s="60">
        <f t="shared" ref="J155:N155" si="225">SUM(J156:J157)</f>
        <v>134</v>
      </c>
      <c r="K155" s="60">
        <f t="shared" si="225"/>
        <v>432.37</v>
      </c>
      <c r="L155" s="60">
        <f t="shared" si="225"/>
        <v>487.2</v>
      </c>
      <c r="M155" s="60">
        <f t="shared" si="225"/>
        <v>487.2</v>
      </c>
      <c r="N155" s="60">
        <f t="shared" si="225"/>
        <v>487.2</v>
      </c>
      <c r="O155" s="60">
        <f t="shared" ref="O155:P155" si="226">SUM(O156:O157)</f>
        <v>487.2</v>
      </c>
      <c r="P155" s="60">
        <f t="shared" si="226"/>
        <v>487.2</v>
      </c>
      <c r="Q155" s="60">
        <f t="shared" ref="Q155:R155" si="227">SUM(Q156:Q157)</f>
        <v>487.2</v>
      </c>
      <c r="R155" s="60">
        <f t="shared" si="227"/>
        <v>487.2</v>
      </c>
      <c r="S155" s="60">
        <f t="shared" ref="S155:T155" si="228">SUM(S156:S157)</f>
        <v>487.2</v>
      </c>
      <c r="T155" s="60">
        <f t="shared" si="228"/>
        <v>487.2</v>
      </c>
      <c r="U155" s="60">
        <f t="shared" ref="U155:V155" si="229">SUM(U156:U157)</f>
        <v>487.2</v>
      </c>
      <c r="V155" s="60">
        <f t="shared" si="229"/>
        <v>487.2</v>
      </c>
      <c r="W155" s="60">
        <f t="shared" ref="W155:X155" si="230">SUM(W156:W157)</f>
        <v>487.2</v>
      </c>
      <c r="X155" s="60">
        <f t="shared" si="230"/>
        <v>487.2</v>
      </c>
      <c r="Y155" s="60">
        <f t="shared" ref="Y155:Z155" si="231">SUM(Y156:Y157)</f>
        <v>487.2</v>
      </c>
      <c r="Z155" s="60">
        <f t="shared" si="231"/>
        <v>487.2</v>
      </c>
      <c r="AC155" t="s">
        <v>876</v>
      </c>
      <c r="AD155" t="s">
        <v>877</v>
      </c>
      <c r="AE155">
        <v>86</v>
      </c>
      <c r="AF155">
        <v>0</v>
      </c>
      <c r="AG155">
        <v>0</v>
      </c>
      <c r="AH155">
        <v>0</v>
      </c>
      <c r="AI155">
        <v>0</v>
      </c>
      <c r="AJ155" t="s">
        <v>878</v>
      </c>
    </row>
    <row r="156" spans="2:36" x14ac:dyDescent="0.2">
      <c r="B156" s="31" t="s">
        <v>88</v>
      </c>
      <c r="C156" s="120"/>
      <c r="D156" s="214" t="s">
        <v>49</v>
      </c>
      <c r="E156" s="121" t="s">
        <v>89</v>
      </c>
      <c r="F156" s="194"/>
      <c r="G156" s="194"/>
      <c r="H156" s="171">
        <v>79</v>
      </c>
      <c r="I156" s="104">
        <f>'Vykazy HELIOS'!D153/1000</f>
        <v>0</v>
      </c>
      <c r="J156" s="104">
        <f>'Vykazy HELIOS'!E153/1000</f>
        <v>134</v>
      </c>
      <c r="K156" s="104">
        <f>'Vykazy HELIOS'!F153/1000</f>
        <v>432.37</v>
      </c>
      <c r="L156" s="104">
        <f>'Vykazy HELIOS'!G153/1000</f>
        <v>487.2</v>
      </c>
      <c r="M156" s="104">
        <f>'Vykazy HELIOS'!H153/1000</f>
        <v>487.2</v>
      </c>
      <c r="N156" s="123">
        <f>'Vykazy HELIOS'!I153/1000</f>
        <v>487.2</v>
      </c>
      <c r="O156" s="123">
        <f>'Vykazy HELIOS'!J153/1000</f>
        <v>487.2</v>
      </c>
      <c r="P156" s="123">
        <f>'Vykazy HELIOS'!K153/1000</f>
        <v>487.2</v>
      </c>
      <c r="Q156" s="123">
        <f>'Vykazy HELIOS'!L153/1000</f>
        <v>487.2</v>
      </c>
      <c r="R156" s="123">
        <f>'Vykazy HELIOS'!M153/1000</f>
        <v>487.2</v>
      </c>
      <c r="S156" s="123">
        <f>'Vykazy HELIOS'!N153/1000</f>
        <v>487.2</v>
      </c>
      <c r="T156" s="123">
        <f>'Vykazy HELIOS'!O153/1000</f>
        <v>487.2</v>
      </c>
      <c r="U156" s="123">
        <f>'Vykazy HELIOS'!P153/1000</f>
        <v>487.2</v>
      </c>
      <c r="V156" s="123">
        <f>'Vykazy HELIOS'!Q153/1000</f>
        <v>487.2</v>
      </c>
      <c r="W156" s="123">
        <f>'Vykazy HELIOS'!R153/1000</f>
        <v>487.2</v>
      </c>
      <c r="X156" s="123">
        <f>'Vykazy HELIOS'!S153/1000</f>
        <v>487.2</v>
      </c>
      <c r="Y156" s="123">
        <f>'Vykazy HELIOS'!T153/1000</f>
        <v>487.2</v>
      </c>
      <c r="Z156" s="123">
        <f>'Vykazy HELIOS'!U153/1000</f>
        <v>487.2</v>
      </c>
      <c r="AC156" t="s">
        <v>879</v>
      </c>
      <c r="AD156" t="s">
        <v>165</v>
      </c>
      <c r="AE156">
        <v>87</v>
      </c>
      <c r="AF156">
        <v>0</v>
      </c>
      <c r="AG156">
        <v>0</v>
      </c>
      <c r="AH156">
        <v>0</v>
      </c>
      <c r="AI156">
        <v>0</v>
      </c>
      <c r="AJ156" t="s">
        <v>880</v>
      </c>
    </row>
    <row r="157" spans="2:36" x14ac:dyDescent="0.2">
      <c r="B157" s="37"/>
      <c r="C157" s="75"/>
      <c r="D157" s="215" t="s">
        <v>51</v>
      </c>
      <c r="E157" s="48" t="s">
        <v>460</v>
      </c>
      <c r="F157" s="207"/>
      <c r="G157" s="207"/>
      <c r="H157" s="172">
        <v>80</v>
      </c>
      <c r="I157" s="107">
        <f>'Vykazy HELIOS'!D154/1000</f>
        <v>0</v>
      </c>
      <c r="J157" s="107">
        <f>'Vykazy HELIOS'!E154/1000</f>
        <v>0</v>
      </c>
      <c r="K157" s="107">
        <f>'Vykazy HELIOS'!F154/1000</f>
        <v>0</v>
      </c>
      <c r="L157" s="107">
        <f>'Vykazy HELIOS'!G154/1000</f>
        <v>0</v>
      </c>
      <c r="M157" s="107">
        <f>'Vykazy HELIOS'!H154/1000</f>
        <v>0</v>
      </c>
      <c r="N157" s="125">
        <f>'Vykazy HELIOS'!I154/1000</f>
        <v>0</v>
      </c>
      <c r="O157" s="125">
        <f>'Vykazy HELIOS'!J154/1000</f>
        <v>0</v>
      </c>
      <c r="P157" s="125">
        <f>'Vykazy HELIOS'!K154/1000</f>
        <v>0</v>
      </c>
      <c r="Q157" s="125">
        <f>'Vykazy HELIOS'!L154/1000</f>
        <v>0</v>
      </c>
      <c r="R157" s="125">
        <f>'Vykazy HELIOS'!M154/1000</f>
        <v>0</v>
      </c>
      <c r="S157" s="125">
        <f>'Vykazy HELIOS'!N154/1000</f>
        <v>0</v>
      </c>
      <c r="T157" s="125">
        <f>'Vykazy HELIOS'!O154/1000</f>
        <v>0</v>
      </c>
      <c r="U157" s="125">
        <f>'Vykazy HELIOS'!P154/1000</f>
        <v>0</v>
      </c>
      <c r="V157" s="125">
        <f>'Vykazy HELIOS'!Q154/1000</f>
        <v>0</v>
      </c>
      <c r="W157" s="125">
        <f>'Vykazy HELIOS'!R154/1000</f>
        <v>0</v>
      </c>
      <c r="X157" s="125">
        <f>'Vykazy HELIOS'!S154/1000</f>
        <v>0</v>
      </c>
      <c r="Y157" s="125">
        <f>'Vykazy HELIOS'!T154/1000</f>
        <v>0</v>
      </c>
      <c r="Z157" s="125">
        <f>'Vykazy HELIOS'!U154/1000</f>
        <v>0</v>
      </c>
      <c r="AC157" t="s">
        <v>84</v>
      </c>
      <c r="AD157" t="s">
        <v>881</v>
      </c>
      <c r="AE157">
        <v>88</v>
      </c>
      <c r="AF157">
        <v>0</v>
      </c>
      <c r="AG157">
        <v>0</v>
      </c>
      <c r="AH157">
        <v>0</v>
      </c>
      <c r="AI157">
        <v>0</v>
      </c>
      <c r="AJ157" t="s">
        <v>882</v>
      </c>
    </row>
    <row r="158" spans="2:36" x14ac:dyDescent="0.2">
      <c r="B158" s="52" t="s">
        <v>90</v>
      </c>
      <c r="C158" s="57"/>
      <c r="D158" s="79" t="s">
        <v>206</v>
      </c>
      <c r="E158" s="81"/>
      <c r="F158" s="53"/>
      <c r="G158" s="53"/>
      <c r="H158" s="170">
        <v>81</v>
      </c>
      <c r="I158" s="60">
        <f>I159+I160</f>
        <v>8</v>
      </c>
      <c r="J158" s="60">
        <f t="shared" ref="J158:N158" si="232">J159+J160</f>
        <v>-36</v>
      </c>
      <c r="K158" s="60">
        <f t="shared" si="232"/>
        <v>9618.3837700000004</v>
      </c>
      <c r="L158" s="60">
        <f t="shared" si="232"/>
        <v>19770.873769999998</v>
      </c>
      <c r="M158" s="60">
        <f t="shared" si="232"/>
        <v>20135.83454</v>
      </c>
      <c r="N158" s="60">
        <f t="shared" si="232"/>
        <v>31082.623239999997</v>
      </c>
      <c r="O158" s="60">
        <f t="shared" ref="O158:P158" si="233">O159+O160</f>
        <v>34548.342819999998</v>
      </c>
      <c r="P158" s="60">
        <f t="shared" si="233"/>
        <v>52241.370869999999</v>
      </c>
      <c r="Q158" s="60">
        <f t="shared" ref="Q158:R158" si="234">Q159+Q160</f>
        <v>72381.096999999994</v>
      </c>
      <c r="R158" s="60">
        <f t="shared" si="234"/>
        <v>99845.341969999994</v>
      </c>
      <c r="S158" s="60">
        <f t="shared" ref="S158:T158" si="235">S159+S160</f>
        <v>111114.74295999999</v>
      </c>
      <c r="T158" s="60">
        <f t="shared" si="235"/>
        <v>116241.01813</v>
      </c>
      <c r="U158" s="60">
        <f t="shared" ref="U158:V158" si="236">U159+U160</f>
        <v>130443.14562000001</v>
      </c>
      <c r="V158" s="60">
        <f t="shared" si="236"/>
        <v>147297.36444</v>
      </c>
      <c r="W158" s="60">
        <f t="shared" ref="W158:X158" si="237">W159+W160</f>
        <v>148131.63036000001</v>
      </c>
      <c r="X158" s="60">
        <f t="shared" si="237"/>
        <v>148163.73193000001</v>
      </c>
      <c r="Y158" s="60">
        <f t="shared" ref="Y158:Z158" si="238">Y159+Y160</f>
        <v>141358.70726</v>
      </c>
      <c r="Z158" s="60">
        <f t="shared" si="238"/>
        <v>134234.44222</v>
      </c>
      <c r="AC158" t="s">
        <v>883</v>
      </c>
      <c r="AD158" t="s">
        <v>884</v>
      </c>
      <c r="AE158">
        <v>89</v>
      </c>
      <c r="AF158">
        <v>0</v>
      </c>
      <c r="AG158">
        <v>0</v>
      </c>
      <c r="AH158">
        <v>0</v>
      </c>
      <c r="AI158">
        <v>0</v>
      </c>
      <c r="AJ158" t="s">
        <v>885</v>
      </c>
    </row>
    <row r="159" spans="2:36" x14ac:dyDescent="0.2">
      <c r="B159" s="31" t="s">
        <v>90</v>
      </c>
      <c r="C159" s="174"/>
      <c r="D159" s="216" t="s">
        <v>49</v>
      </c>
      <c r="E159" s="121" t="s">
        <v>207</v>
      </c>
      <c r="F159" s="194"/>
      <c r="G159" s="194"/>
      <c r="H159" s="171">
        <v>82</v>
      </c>
      <c r="I159" s="104">
        <f>'Vykazy HELIOS'!D156/1000</f>
        <v>1195</v>
      </c>
      <c r="J159" s="104">
        <f>'Vykazy HELIOS'!E156/1000</f>
        <v>1151</v>
      </c>
      <c r="K159" s="104">
        <f>'Vykazy HELIOS'!F156/1000</f>
        <v>10805.160739999999</v>
      </c>
      <c r="L159" s="104">
        <f>'Vykazy HELIOS'!G156/1000</f>
        <v>19770.873769999998</v>
      </c>
      <c r="M159" s="104">
        <f>'Vykazy HELIOS'!H156/1000</f>
        <v>20135.83454</v>
      </c>
      <c r="N159" s="123">
        <f>'Vykazy HELIOS'!I156/1000</f>
        <v>31082.623239999997</v>
      </c>
      <c r="O159" s="123">
        <f>'Vykazy HELIOS'!J156/1000</f>
        <v>34548.342819999998</v>
      </c>
      <c r="P159" s="123">
        <f>'Vykazy HELIOS'!K156/1000</f>
        <v>52241.370869999999</v>
      </c>
      <c r="Q159" s="123">
        <f>'Vykazy HELIOS'!L156/1000</f>
        <v>72381.096999999994</v>
      </c>
      <c r="R159" s="123">
        <f>'Vykazy HELIOS'!M156/1000</f>
        <v>99845.341969999994</v>
      </c>
      <c r="S159" s="123">
        <f>'Vykazy HELIOS'!N156/1000</f>
        <v>111114.74295999999</v>
      </c>
      <c r="T159" s="123">
        <f>'Vykazy HELIOS'!O156/1000</f>
        <v>116241.01813</v>
      </c>
      <c r="U159" s="123">
        <f>'Vykazy HELIOS'!P156/1000</f>
        <v>130443.14562000001</v>
      </c>
      <c r="V159" s="123">
        <f>'Vykazy HELIOS'!Q156/1000</f>
        <v>147297.36444</v>
      </c>
      <c r="W159" s="123">
        <f>'Vykazy HELIOS'!R156/1000</f>
        <v>148131.63036000001</v>
      </c>
      <c r="X159" s="123">
        <f>'Vykazy HELIOS'!S156/1000</f>
        <v>148163.73193000001</v>
      </c>
      <c r="Y159" s="123">
        <f>'Vykazy HELIOS'!T156/1000</f>
        <v>141358.70726</v>
      </c>
      <c r="Z159" s="123">
        <f>'Vykazy HELIOS'!U156/1000</f>
        <v>134234.44222</v>
      </c>
      <c r="AC159" t="s">
        <v>886</v>
      </c>
      <c r="AD159" t="s">
        <v>85</v>
      </c>
      <c r="AE159">
        <v>90</v>
      </c>
      <c r="AF159">
        <v>0</v>
      </c>
      <c r="AG159">
        <v>0</v>
      </c>
      <c r="AH159">
        <v>0</v>
      </c>
      <c r="AI159">
        <v>0</v>
      </c>
      <c r="AJ159" t="s">
        <v>887</v>
      </c>
    </row>
    <row r="160" spans="2:36" x14ac:dyDescent="0.2">
      <c r="B160" s="37"/>
      <c r="C160" s="218"/>
      <c r="D160" s="217" t="s">
        <v>51</v>
      </c>
      <c r="E160" s="48" t="s">
        <v>464</v>
      </c>
      <c r="F160" s="49"/>
      <c r="G160" s="49"/>
      <c r="H160" s="172">
        <v>83</v>
      </c>
      <c r="I160" s="107">
        <f>'Vykazy HELIOS'!D157/1000</f>
        <v>-1187</v>
      </c>
      <c r="J160" s="107">
        <f>'Vykazy HELIOS'!E157/1000</f>
        <v>-1187</v>
      </c>
      <c r="K160" s="107">
        <f>'Vykazy HELIOS'!F157/1000</f>
        <v>-1186.7769699999999</v>
      </c>
      <c r="L160" s="107">
        <f>'Vykazy HELIOS'!G157/1000</f>
        <v>0</v>
      </c>
      <c r="M160" s="107">
        <f>'Vykazy HELIOS'!H157/1000</f>
        <v>0</v>
      </c>
      <c r="N160" s="125">
        <f>'Vykazy HELIOS'!I157/1000</f>
        <v>0</v>
      </c>
      <c r="O160" s="125">
        <f>'Vykazy HELIOS'!J157/1000</f>
        <v>0</v>
      </c>
      <c r="P160" s="125">
        <f>'Vykazy HELIOS'!K157/1000</f>
        <v>0</v>
      </c>
      <c r="Q160" s="125">
        <f>'Vykazy HELIOS'!L157/1000</f>
        <v>0</v>
      </c>
      <c r="R160" s="125">
        <f>'Vykazy HELIOS'!M157/1000</f>
        <v>0</v>
      </c>
      <c r="S160" s="125">
        <f>'Vykazy HELIOS'!N157/1000</f>
        <v>0</v>
      </c>
      <c r="T160" s="125">
        <f>'Vykazy HELIOS'!O157/1000</f>
        <v>0</v>
      </c>
      <c r="U160" s="125">
        <f>'Vykazy HELIOS'!P157/1000</f>
        <v>0</v>
      </c>
      <c r="V160" s="125">
        <f>'Vykazy HELIOS'!Q157/1000</f>
        <v>0</v>
      </c>
      <c r="W160" s="125">
        <f>'Vykazy HELIOS'!R157/1000</f>
        <v>0</v>
      </c>
      <c r="X160" s="125">
        <f>'Vykazy HELIOS'!S157/1000</f>
        <v>0</v>
      </c>
      <c r="Y160" s="125">
        <f>'Vykazy HELIOS'!T157/1000</f>
        <v>0</v>
      </c>
      <c r="Z160" s="125">
        <f>'Vykazy HELIOS'!U157/1000</f>
        <v>0</v>
      </c>
      <c r="AC160" t="s">
        <v>888</v>
      </c>
      <c r="AD160" t="s">
        <v>87</v>
      </c>
      <c r="AE160">
        <v>91</v>
      </c>
      <c r="AF160">
        <v>0</v>
      </c>
      <c r="AG160">
        <v>0</v>
      </c>
      <c r="AH160">
        <v>0</v>
      </c>
      <c r="AI160">
        <v>0</v>
      </c>
      <c r="AJ160" t="s">
        <v>889</v>
      </c>
    </row>
    <row r="161" spans="2:36" x14ac:dyDescent="0.2">
      <c r="B161" s="52" t="s">
        <v>91</v>
      </c>
      <c r="C161" s="57"/>
      <c r="D161" s="79" t="s">
        <v>208</v>
      </c>
      <c r="E161" s="81"/>
      <c r="F161" s="53"/>
      <c r="G161" s="53"/>
      <c r="H161" s="170">
        <v>84</v>
      </c>
      <c r="I161" s="60">
        <f t="shared" ref="I161:N161" si="239">I63</f>
        <v>90</v>
      </c>
      <c r="J161" s="60">
        <f t="shared" si="239"/>
        <v>9952</v>
      </c>
      <c r="K161" s="60">
        <f t="shared" si="239"/>
        <v>10207.319999999992</v>
      </c>
      <c r="L161" s="60">
        <f t="shared" si="239"/>
        <v>364.96077000000219</v>
      </c>
      <c r="M161" s="60">
        <f t="shared" si="239"/>
        <v>10946.788699999983</v>
      </c>
      <c r="N161" s="61">
        <f t="shared" si="239"/>
        <v>3465.7195799999513</v>
      </c>
      <c r="O161" s="61">
        <f t="shared" ref="O161:P161" si="240">O63</f>
        <v>17693.028049999943</v>
      </c>
      <c r="P161" s="61">
        <f t="shared" si="240"/>
        <v>20139.726130000039</v>
      </c>
      <c r="Q161" s="61">
        <f t="shared" ref="Q161:R161" si="241">Q63</f>
        <v>27464.244969999942</v>
      </c>
      <c r="R161" s="61">
        <f t="shared" si="241"/>
        <v>11279.744989999943</v>
      </c>
      <c r="S161" s="61">
        <f t="shared" ref="S161:T161" si="242">S63</f>
        <v>5126.2751699999881</v>
      </c>
      <c r="T161" s="61">
        <f t="shared" si="242"/>
        <v>14240.429259999974</v>
      </c>
      <c r="U161" s="61">
        <f t="shared" ref="U161:V161" si="243">U63</f>
        <v>16820.641300000072</v>
      </c>
      <c r="V161" s="61">
        <f t="shared" si="243"/>
        <v>834.29391999997017</v>
      </c>
      <c r="W161" s="61">
        <f t="shared" ref="W161:X161" si="244">W63</f>
        <v>32.101570000006177</v>
      </c>
      <c r="X161" s="61">
        <f t="shared" si="244"/>
        <v>194.97532999998685</v>
      </c>
      <c r="Y161" s="61">
        <f t="shared" ref="Y161:Z161" si="245">Y63</f>
        <v>4640.4409600000017</v>
      </c>
      <c r="Z161" s="61">
        <f t="shared" si="245"/>
        <v>16917.126489999981</v>
      </c>
      <c r="AC161" t="s">
        <v>890</v>
      </c>
      <c r="AD161" t="s">
        <v>891</v>
      </c>
      <c r="AE161">
        <v>92</v>
      </c>
      <c r="AF161">
        <v>0</v>
      </c>
      <c r="AG161">
        <v>0</v>
      </c>
      <c r="AH161">
        <v>0</v>
      </c>
      <c r="AI161">
        <v>0</v>
      </c>
      <c r="AJ161" t="s">
        <v>892</v>
      </c>
    </row>
    <row r="162" spans="2:36" x14ac:dyDescent="0.2">
      <c r="B162" s="52" t="s">
        <v>10</v>
      </c>
      <c r="C162" s="57"/>
      <c r="D162" s="82" t="s">
        <v>92</v>
      </c>
      <c r="E162" s="81"/>
      <c r="F162" s="53"/>
      <c r="G162" s="53" t="s">
        <v>922</v>
      </c>
      <c r="H162" s="170">
        <v>85</v>
      </c>
      <c r="I162" s="60">
        <f t="shared" ref="I162:N162" si="246">I163+I168+I179+I191</f>
        <v>44892</v>
      </c>
      <c r="J162" s="60">
        <f t="shared" si="246"/>
        <v>59179</v>
      </c>
      <c r="K162" s="60">
        <f t="shared" si="246"/>
        <v>61996.339850000004</v>
      </c>
      <c r="L162" s="60">
        <f t="shared" si="246"/>
        <v>64333.786770000006</v>
      </c>
      <c r="M162" s="60">
        <f t="shared" si="246"/>
        <v>65862.44550999999</v>
      </c>
      <c r="N162" s="61">
        <f t="shared" si="246"/>
        <v>99221.526929999993</v>
      </c>
      <c r="O162" s="61">
        <f t="shared" ref="O162:P162" si="247">O163+O168+O179+O191</f>
        <v>98680.077019999997</v>
      </c>
      <c r="P162" s="61">
        <f t="shared" si="247"/>
        <v>93360.04823</v>
      </c>
      <c r="Q162" s="61">
        <f t="shared" ref="Q162:R162" si="248">Q163+Q168+Q179+Q191</f>
        <v>128245.99133999999</v>
      </c>
      <c r="R162" s="61">
        <f t="shared" si="248"/>
        <v>157762.93130000003</v>
      </c>
      <c r="S162" s="61">
        <f t="shared" ref="S162:T162" si="249">S163+S168+S179+S191</f>
        <v>140831.81623</v>
      </c>
      <c r="T162" s="61">
        <f t="shared" si="249"/>
        <v>105598.22673000001</v>
      </c>
      <c r="U162" s="61">
        <f t="shared" ref="U162:V162" si="250">U163+U168+U179+U191</f>
        <v>59423.881549999991</v>
      </c>
      <c r="V162" s="61">
        <f t="shared" si="250"/>
        <v>35701.828519999995</v>
      </c>
      <c r="W162" s="61">
        <f t="shared" ref="W162:X162" si="251">W163+W168+W179+W191</f>
        <v>166345.06956999999</v>
      </c>
      <c r="X162" s="61">
        <f t="shared" si="251"/>
        <v>157668.37534999999</v>
      </c>
      <c r="Y162" s="61">
        <f t="shared" ref="Y162:Z162" si="252">Y163+Y168+Y179+Y191</f>
        <v>108695.3983</v>
      </c>
      <c r="Z162" s="61">
        <f t="shared" si="252"/>
        <v>78238.411649999995</v>
      </c>
      <c r="AC162" t="s">
        <v>893</v>
      </c>
      <c r="AD162" t="s">
        <v>894</v>
      </c>
      <c r="AE162">
        <v>93</v>
      </c>
      <c r="AF162">
        <v>0</v>
      </c>
      <c r="AG162">
        <v>0</v>
      </c>
      <c r="AH162">
        <v>0</v>
      </c>
      <c r="AI162">
        <v>0</v>
      </c>
      <c r="AJ162" t="s">
        <v>895</v>
      </c>
    </row>
    <row r="163" spans="2:36" x14ac:dyDescent="0.2">
      <c r="B163" s="52" t="s">
        <v>47</v>
      </c>
      <c r="C163" s="57"/>
      <c r="D163" s="82" t="s">
        <v>93</v>
      </c>
      <c r="E163" s="81"/>
      <c r="F163" s="53"/>
      <c r="G163" s="53"/>
      <c r="H163" s="170">
        <v>86</v>
      </c>
      <c r="I163" s="60">
        <f t="shared" ref="I163:N163" si="253">SUM(I164:I167)</f>
        <v>13710</v>
      </c>
      <c r="J163" s="60">
        <f t="shared" si="253"/>
        <v>14160</v>
      </c>
      <c r="K163" s="60">
        <f t="shared" si="253"/>
        <v>4602.5763999999999</v>
      </c>
      <c r="L163" s="60">
        <f t="shared" si="253"/>
        <v>0</v>
      </c>
      <c r="M163" s="60">
        <f t="shared" si="253"/>
        <v>0</v>
      </c>
      <c r="N163" s="61">
        <f t="shared" si="253"/>
        <v>0</v>
      </c>
      <c r="O163" s="61">
        <f t="shared" ref="O163:P163" si="254">SUM(O164:O167)</f>
        <v>0</v>
      </c>
      <c r="P163" s="61">
        <f t="shared" si="254"/>
        <v>0</v>
      </c>
      <c r="Q163" s="61">
        <f t="shared" ref="Q163:R163" si="255">SUM(Q164:Q167)</f>
        <v>0</v>
      </c>
      <c r="R163" s="61">
        <f t="shared" si="255"/>
        <v>0</v>
      </c>
      <c r="S163" s="61">
        <f t="shared" ref="S163:T163" si="256">SUM(S164:S167)</f>
        <v>37.074629999999999</v>
      </c>
      <c r="T163" s="61">
        <f t="shared" si="256"/>
        <v>110.22108</v>
      </c>
      <c r="U163" s="61">
        <f t="shared" ref="U163:V163" si="257">SUM(U164:U167)</f>
        <v>68.298779999999994</v>
      </c>
      <c r="V163" s="61">
        <f t="shared" si="257"/>
        <v>27.373270000000002</v>
      </c>
      <c r="W163" s="61">
        <f t="shared" ref="W163:X163" si="258">SUM(W164:W167)</f>
        <v>128.79194999999999</v>
      </c>
      <c r="X163" s="61">
        <f t="shared" si="258"/>
        <v>135.61504000000002</v>
      </c>
      <c r="Y163" s="61">
        <f t="shared" ref="Y163:Z163" si="259">SUM(Y164:Y167)</f>
        <v>7.0960799999999997</v>
      </c>
      <c r="Z163" s="61">
        <f t="shared" si="259"/>
        <v>7.0960799999999997</v>
      </c>
      <c r="AC163" t="s">
        <v>896</v>
      </c>
      <c r="AD163" t="s">
        <v>897</v>
      </c>
      <c r="AE163">
        <v>94</v>
      </c>
      <c r="AF163">
        <v>0</v>
      </c>
      <c r="AG163">
        <v>0</v>
      </c>
      <c r="AH163">
        <v>0</v>
      </c>
      <c r="AI163">
        <v>0</v>
      </c>
      <c r="AJ163" t="s">
        <v>898</v>
      </c>
    </row>
    <row r="164" spans="2:36" x14ac:dyDescent="0.2">
      <c r="B164" s="31" t="s">
        <v>47</v>
      </c>
      <c r="C164" s="120"/>
      <c r="D164" s="219" t="s">
        <v>49</v>
      </c>
      <c r="E164" s="135" t="s">
        <v>469</v>
      </c>
      <c r="F164" s="122"/>
      <c r="G164" s="122"/>
      <c r="H164" s="222">
        <v>87</v>
      </c>
      <c r="I164" s="104">
        <f>'Vykazy HELIOS'!D161/1000</f>
        <v>13710</v>
      </c>
      <c r="J164" s="104">
        <f>'Vykazy HELIOS'!E161/1000</f>
        <v>14160</v>
      </c>
      <c r="K164" s="104">
        <f>'Vykazy HELIOS'!F161/1000</f>
        <v>4602.5763999999999</v>
      </c>
      <c r="L164" s="104">
        <f>'Vykazy HELIOS'!G161/1000</f>
        <v>0</v>
      </c>
      <c r="M164" s="104">
        <f>'Vykazy HELIOS'!H161/1000</f>
        <v>0</v>
      </c>
      <c r="N164" s="123">
        <f>'Vykazy HELIOS'!I161/1000</f>
        <v>0</v>
      </c>
      <c r="O164" s="123">
        <f>'Vykazy HELIOS'!J161/1000</f>
        <v>0</v>
      </c>
      <c r="P164" s="123">
        <f>'Vykazy HELIOS'!K161/1000</f>
        <v>0</v>
      </c>
      <c r="Q164" s="123">
        <f>'Vykazy HELIOS'!L161/1000</f>
        <v>0</v>
      </c>
      <c r="R164" s="123">
        <f>'Vykazy HELIOS'!M161/1000</f>
        <v>0</v>
      </c>
      <c r="S164" s="123">
        <f>'Vykazy HELIOS'!N161/1000</f>
        <v>0</v>
      </c>
      <c r="T164" s="123">
        <f>'Vykazy HELIOS'!O161/1000</f>
        <v>0</v>
      </c>
      <c r="U164" s="123">
        <f>'Vykazy HELIOS'!P161/1000</f>
        <v>0</v>
      </c>
      <c r="V164" s="123">
        <f>'Vykazy HELIOS'!Q161/1000</f>
        <v>0</v>
      </c>
      <c r="W164" s="123">
        <f>'Vykazy HELIOS'!R161/1000</f>
        <v>0</v>
      </c>
      <c r="X164" s="123">
        <f>'Vykazy HELIOS'!S161/1000</f>
        <v>0</v>
      </c>
      <c r="Y164" s="123">
        <f>'Vykazy HELIOS'!T161/1000</f>
        <v>0</v>
      </c>
      <c r="Z164" s="123">
        <f>'Vykazy HELIOS'!U161/1000</f>
        <v>0</v>
      </c>
      <c r="AC164" t="s">
        <v>899</v>
      </c>
      <c r="AD164" t="s">
        <v>900</v>
      </c>
      <c r="AE164">
        <v>95</v>
      </c>
      <c r="AF164">
        <v>0</v>
      </c>
      <c r="AG164">
        <v>0</v>
      </c>
      <c r="AH164">
        <v>0</v>
      </c>
      <c r="AI164">
        <v>0</v>
      </c>
      <c r="AJ164" t="s">
        <v>901</v>
      </c>
    </row>
    <row r="165" spans="2:36" x14ac:dyDescent="0.2">
      <c r="B165" s="116"/>
      <c r="C165" s="126"/>
      <c r="D165" s="137" t="s">
        <v>51</v>
      </c>
      <c r="E165" s="71" t="s">
        <v>470</v>
      </c>
      <c r="F165" s="72"/>
      <c r="G165" s="72"/>
      <c r="H165" s="223">
        <v>88</v>
      </c>
      <c r="I165" s="114">
        <f>'Vykazy HELIOS'!D162/1000</f>
        <v>0</v>
      </c>
      <c r="J165" s="114">
        <f>'Vykazy HELIOS'!E162/1000</f>
        <v>0</v>
      </c>
      <c r="K165" s="114">
        <f>'Vykazy HELIOS'!F162/1000</f>
        <v>0</v>
      </c>
      <c r="L165" s="114">
        <f>'Vykazy HELIOS'!G162/1000</f>
        <v>0</v>
      </c>
      <c r="M165" s="114">
        <f>'Vykazy HELIOS'!H162/1000</f>
        <v>0</v>
      </c>
      <c r="N165" s="128">
        <f>'Vykazy HELIOS'!I162/1000</f>
        <v>0</v>
      </c>
      <c r="O165" s="128">
        <f>'Vykazy HELIOS'!J162/1000</f>
        <v>0</v>
      </c>
      <c r="P165" s="128">
        <f>'Vykazy HELIOS'!K162/1000</f>
        <v>0</v>
      </c>
      <c r="Q165" s="128">
        <f>'Vykazy HELIOS'!L162/1000</f>
        <v>0</v>
      </c>
      <c r="R165" s="128">
        <f>'Vykazy HELIOS'!M162/1000</f>
        <v>0</v>
      </c>
      <c r="S165" s="128">
        <f>'Vykazy HELIOS'!N162/1000</f>
        <v>0</v>
      </c>
      <c r="T165" s="128">
        <f>'Vykazy HELIOS'!O162/1000</f>
        <v>0</v>
      </c>
      <c r="U165" s="128">
        <f>'Vykazy HELIOS'!P162/1000</f>
        <v>0</v>
      </c>
      <c r="V165" s="128">
        <f>'Vykazy HELIOS'!Q162/1000</f>
        <v>0</v>
      </c>
      <c r="W165" s="128">
        <f>'Vykazy HELIOS'!R162/1000</f>
        <v>0</v>
      </c>
      <c r="X165" s="128">
        <f>'Vykazy HELIOS'!S162/1000</f>
        <v>0</v>
      </c>
      <c r="Y165" s="128">
        <f>'Vykazy HELIOS'!T162/1000</f>
        <v>0</v>
      </c>
      <c r="Z165" s="128">
        <f>'Vykazy HELIOS'!U162/1000</f>
        <v>0</v>
      </c>
      <c r="AC165" t="s">
        <v>88</v>
      </c>
      <c r="AD165" t="s">
        <v>902</v>
      </c>
      <c r="AE165">
        <v>96</v>
      </c>
      <c r="AF165">
        <v>487200</v>
      </c>
      <c r="AG165">
        <v>0</v>
      </c>
      <c r="AH165">
        <v>487200</v>
      </c>
      <c r="AI165">
        <v>487200</v>
      </c>
      <c r="AJ165" t="s">
        <v>903</v>
      </c>
    </row>
    <row r="166" spans="2:36" x14ac:dyDescent="0.2">
      <c r="B166" s="116"/>
      <c r="C166" s="126"/>
      <c r="D166" s="137" t="s">
        <v>52</v>
      </c>
      <c r="E166" s="71" t="s">
        <v>471</v>
      </c>
      <c r="F166" s="72"/>
      <c r="G166" s="72"/>
      <c r="H166" s="223">
        <v>89</v>
      </c>
      <c r="I166" s="114">
        <f>'Vykazy HELIOS'!D163/1000</f>
        <v>0</v>
      </c>
      <c r="J166" s="114">
        <f>'Vykazy HELIOS'!E163/1000</f>
        <v>0</v>
      </c>
      <c r="K166" s="114">
        <f>'Vykazy HELIOS'!F163/1000</f>
        <v>0</v>
      </c>
      <c r="L166" s="114">
        <f>'Vykazy HELIOS'!G163/1000</f>
        <v>0</v>
      </c>
      <c r="M166" s="114">
        <f>'Vykazy HELIOS'!H163/1000</f>
        <v>0</v>
      </c>
      <c r="N166" s="128">
        <f>'Vykazy HELIOS'!I163/1000</f>
        <v>0</v>
      </c>
      <c r="O166" s="128">
        <f>'Vykazy HELIOS'!J163/1000</f>
        <v>0</v>
      </c>
      <c r="P166" s="128">
        <f>'Vykazy HELIOS'!K163/1000</f>
        <v>0</v>
      </c>
      <c r="Q166" s="128">
        <f>'Vykazy HELIOS'!L163/1000</f>
        <v>0</v>
      </c>
      <c r="R166" s="128">
        <f>'Vykazy HELIOS'!M163/1000</f>
        <v>0</v>
      </c>
      <c r="S166" s="128">
        <f>'Vykazy HELIOS'!N163/1000</f>
        <v>0</v>
      </c>
      <c r="T166" s="128">
        <f>'Vykazy HELIOS'!O163/1000</f>
        <v>0</v>
      </c>
      <c r="U166" s="128">
        <f>'Vykazy HELIOS'!P163/1000</f>
        <v>0</v>
      </c>
      <c r="V166" s="128">
        <f>'Vykazy HELIOS'!Q163/1000</f>
        <v>0</v>
      </c>
      <c r="W166" s="128">
        <f>'Vykazy HELIOS'!R163/1000</f>
        <v>0</v>
      </c>
      <c r="X166" s="128">
        <f>'Vykazy HELIOS'!S163/1000</f>
        <v>0</v>
      </c>
      <c r="Y166" s="128">
        <f>'Vykazy HELIOS'!T163/1000</f>
        <v>0</v>
      </c>
      <c r="Z166" s="128">
        <f>'Vykazy HELIOS'!U163/1000</f>
        <v>0</v>
      </c>
      <c r="AC166" t="s">
        <v>904</v>
      </c>
      <c r="AD166" t="s">
        <v>905</v>
      </c>
      <c r="AE166">
        <v>97</v>
      </c>
      <c r="AF166">
        <v>487200</v>
      </c>
      <c r="AG166">
        <v>0</v>
      </c>
      <c r="AH166">
        <v>487200</v>
      </c>
      <c r="AI166">
        <v>487200</v>
      </c>
      <c r="AJ166" t="s">
        <v>906</v>
      </c>
    </row>
    <row r="167" spans="2:36" x14ac:dyDescent="0.2">
      <c r="B167" s="37"/>
      <c r="C167" s="75"/>
      <c r="D167" s="136" t="s">
        <v>54</v>
      </c>
      <c r="E167" s="76" t="s">
        <v>94</v>
      </c>
      <c r="F167" s="49"/>
      <c r="G167" s="49"/>
      <c r="H167" s="224">
        <v>90</v>
      </c>
      <c r="I167" s="107">
        <f>'Vykazy HELIOS'!D164/1000</f>
        <v>0</v>
      </c>
      <c r="J167" s="107">
        <f>'Vykazy HELIOS'!E164/1000</f>
        <v>0</v>
      </c>
      <c r="K167" s="107">
        <f>'Vykazy HELIOS'!F164/1000</f>
        <v>0</v>
      </c>
      <c r="L167" s="107">
        <f>'Vykazy HELIOS'!G164/1000</f>
        <v>0</v>
      </c>
      <c r="M167" s="107">
        <f>'Vykazy HELIOS'!H164/1000</f>
        <v>0</v>
      </c>
      <c r="N167" s="125">
        <f>'Vykazy HELIOS'!I164/1000</f>
        <v>0</v>
      </c>
      <c r="O167" s="125">
        <f>'Vykazy HELIOS'!J164/1000</f>
        <v>0</v>
      </c>
      <c r="P167" s="125">
        <f>'Vykazy HELIOS'!K164/1000</f>
        <v>0</v>
      </c>
      <c r="Q167" s="125">
        <f>'Vykazy HELIOS'!L164/1000</f>
        <v>0</v>
      </c>
      <c r="R167" s="125">
        <f>'Vykazy HELIOS'!M164/1000</f>
        <v>0</v>
      </c>
      <c r="S167" s="125">
        <f>'Vykazy HELIOS'!N164/1000</f>
        <v>37.074629999999999</v>
      </c>
      <c r="T167" s="125">
        <f>'Vykazy HELIOS'!O164/1000</f>
        <v>110.22108</v>
      </c>
      <c r="U167" s="125">
        <f>'Vykazy HELIOS'!P164/1000</f>
        <v>68.298779999999994</v>
      </c>
      <c r="V167" s="125">
        <f>'Vykazy HELIOS'!Q164/1000</f>
        <v>27.373270000000002</v>
      </c>
      <c r="W167" s="125">
        <f>'Vykazy HELIOS'!R164/1000</f>
        <v>128.79194999999999</v>
      </c>
      <c r="X167" s="125">
        <f>'Vykazy HELIOS'!S164/1000</f>
        <v>135.61504000000002</v>
      </c>
      <c r="Y167" s="125">
        <f>'Vykazy HELIOS'!T164/1000</f>
        <v>7.0960799999999997</v>
      </c>
      <c r="Z167" s="125">
        <f>'Vykazy HELIOS'!U164/1000</f>
        <v>7.0960799999999997</v>
      </c>
      <c r="AC167" t="s">
        <v>907</v>
      </c>
      <c r="AD167" t="s">
        <v>460</v>
      </c>
      <c r="AE167">
        <v>98</v>
      </c>
      <c r="AF167">
        <v>0</v>
      </c>
      <c r="AG167">
        <v>0</v>
      </c>
      <c r="AH167">
        <v>0</v>
      </c>
      <c r="AI167">
        <v>0</v>
      </c>
      <c r="AJ167" t="s">
        <v>908</v>
      </c>
    </row>
    <row r="168" spans="2:36" x14ac:dyDescent="0.2">
      <c r="B168" s="52" t="s">
        <v>48</v>
      </c>
      <c r="C168" s="57"/>
      <c r="D168" s="82" t="s">
        <v>95</v>
      </c>
      <c r="E168" s="81"/>
      <c r="F168" s="53"/>
      <c r="G168" s="53"/>
      <c r="H168" s="170">
        <v>91</v>
      </c>
      <c r="I168" s="60">
        <f>SUM(I169:I178)</f>
        <v>0</v>
      </c>
      <c r="J168" s="60">
        <f t="shared" ref="J168:N168" si="260">SUM(J169:J178)</f>
        <v>0</v>
      </c>
      <c r="K168" s="60">
        <f t="shared" si="260"/>
        <v>5692.8337300000003</v>
      </c>
      <c r="L168" s="60">
        <f t="shared" si="260"/>
        <v>5525.8888200000001</v>
      </c>
      <c r="M168" s="60">
        <f t="shared" si="260"/>
        <v>3633.2076000000002</v>
      </c>
      <c r="N168" s="60">
        <f t="shared" si="260"/>
        <v>32981.705609999997</v>
      </c>
      <c r="O168" s="60">
        <f t="shared" ref="O168:P168" si="261">SUM(O169:O178)</f>
        <v>9578.3438999999998</v>
      </c>
      <c r="P168" s="60">
        <f t="shared" si="261"/>
        <v>1841.6736299999998</v>
      </c>
      <c r="Q168" s="60">
        <f t="shared" ref="Q168:R168" si="262">SUM(Q169:Q178)</f>
        <v>38480.411590000003</v>
      </c>
      <c r="R168" s="60">
        <f t="shared" si="262"/>
        <v>80603.409010000003</v>
      </c>
      <c r="S168" s="60">
        <f t="shared" ref="S168:T168" si="263">SUM(S169:S178)</f>
        <v>4104.8360999999995</v>
      </c>
      <c r="T168" s="60">
        <f t="shared" si="263"/>
        <v>17274.084629999998</v>
      </c>
      <c r="U168" s="60">
        <f t="shared" ref="U168:V168" si="264">SUM(U169:U178)</f>
        <v>11132.240169999999</v>
      </c>
      <c r="V168" s="60">
        <f t="shared" si="264"/>
        <v>5270.01883</v>
      </c>
      <c r="W168" s="60">
        <f t="shared" ref="W168:X168" si="265">SUM(W169:W178)</f>
        <v>0</v>
      </c>
      <c r="X168" s="60">
        <f t="shared" si="265"/>
        <v>7976.9820399999999</v>
      </c>
      <c r="Y168" s="60">
        <f t="shared" ref="Y168:Z168" si="266">SUM(Y169:Y178)</f>
        <v>5745.7055300000002</v>
      </c>
      <c r="Z168" s="60">
        <f t="shared" si="266"/>
        <v>3464.81158</v>
      </c>
      <c r="AC168" t="s">
        <v>90</v>
      </c>
      <c r="AD168" t="s">
        <v>909</v>
      </c>
      <c r="AE168">
        <v>99</v>
      </c>
      <c r="AF168">
        <v>141358707.25999999</v>
      </c>
      <c r="AG168">
        <v>0</v>
      </c>
      <c r="AH168">
        <v>141358707.25999999</v>
      </c>
      <c r="AI168">
        <v>148163731.93000001</v>
      </c>
      <c r="AJ168" t="s">
        <v>910</v>
      </c>
    </row>
    <row r="169" spans="2:36" x14ac:dyDescent="0.2">
      <c r="B169" s="183"/>
      <c r="C169" s="173"/>
      <c r="D169" s="183" t="s">
        <v>401</v>
      </c>
      <c r="E169" s="173" t="s">
        <v>472</v>
      </c>
      <c r="F169" s="174"/>
      <c r="G169" s="174"/>
      <c r="H169" s="222">
        <v>92</v>
      </c>
      <c r="I169" s="220">
        <f>'Vykazy HELIOS'!D166/1000</f>
        <v>0</v>
      </c>
      <c r="J169" s="220">
        <f>'Vykazy HELIOS'!E166/1000</f>
        <v>0</v>
      </c>
      <c r="K169" s="220">
        <f>'Vykazy HELIOS'!F166/1000</f>
        <v>0</v>
      </c>
      <c r="L169" s="220">
        <f>'Vykazy HELIOS'!G166/1000</f>
        <v>0</v>
      </c>
      <c r="M169" s="220">
        <f>'Vykazy HELIOS'!H166/1000</f>
        <v>0</v>
      </c>
      <c r="N169" s="200">
        <f>'Vykazy HELIOS'!I166/1000</f>
        <v>0</v>
      </c>
      <c r="O169" s="200">
        <f>'Vykazy HELIOS'!J166/1000</f>
        <v>0</v>
      </c>
      <c r="P169" s="200">
        <f>'Vykazy HELIOS'!K166/1000</f>
        <v>0</v>
      </c>
      <c r="Q169" s="200">
        <f>'Vykazy HELIOS'!L166/1000</f>
        <v>0</v>
      </c>
      <c r="R169" s="200">
        <f>'Vykazy HELIOS'!M166/1000</f>
        <v>0</v>
      </c>
      <c r="S169" s="200">
        <f>'Vykazy HELIOS'!N166/1000</f>
        <v>0</v>
      </c>
      <c r="T169" s="200">
        <f>'Vykazy HELIOS'!O166/1000</f>
        <v>0</v>
      </c>
      <c r="U169" s="200">
        <f>'Vykazy HELIOS'!P166/1000</f>
        <v>0</v>
      </c>
      <c r="V169" s="200">
        <f>'Vykazy HELIOS'!Q166/1000</f>
        <v>0</v>
      </c>
      <c r="W169" s="200">
        <f>'Vykazy HELIOS'!R166/1000</f>
        <v>0</v>
      </c>
      <c r="X169" s="200">
        <f>'Vykazy HELIOS'!S166/1000</f>
        <v>0</v>
      </c>
      <c r="Y169" s="200">
        <f>'Vykazy HELIOS'!T166/1000</f>
        <v>0</v>
      </c>
      <c r="Z169" s="200">
        <f>'Vykazy HELIOS'!U166/1000</f>
        <v>0</v>
      </c>
      <c r="AC169" t="s">
        <v>911</v>
      </c>
      <c r="AD169" t="s">
        <v>912</v>
      </c>
      <c r="AE169">
        <v>100</v>
      </c>
      <c r="AF169">
        <v>141358707.25999999</v>
      </c>
      <c r="AG169">
        <v>0</v>
      </c>
      <c r="AH169">
        <v>141358707.25999999</v>
      </c>
      <c r="AI169">
        <v>148163731.93000001</v>
      </c>
      <c r="AJ169" t="s">
        <v>913</v>
      </c>
    </row>
    <row r="170" spans="2:36" x14ac:dyDescent="0.2">
      <c r="B170" s="184"/>
      <c r="D170" s="184" t="s">
        <v>51</v>
      </c>
      <c r="E170" t="s">
        <v>473</v>
      </c>
      <c r="F170" s="175"/>
      <c r="G170" s="175"/>
      <c r="H170" s="223">
        <v>93</v>
      </c>
      <c r="I170" s="221">
        <f>'Vykazy HELIOS'!D167/1000</f>
        <v>0</v>
      </c>
      <c r="J170" s="221">
        <f>'Vykazy HELIOS'!E167/1000</f>
        <v>0</v>
      </c>
      <c r="K170" s="221">
        <f>'Vykazy HELIOS'!F167/1000</f>
        <v>0</v>
      </c>
      <c r="L170" s="221">
        <f>'Vykazy HELIOS'!G167/1000</f>
        <v>0</v>
      </c>
      <c r="M170" s="221">
        <f>'Vykazy HELIOS'!H167/1000</f>
        <v>0</v>
      </c>
      <c r="N170" s="201">
        <f>'Vykazy HELIOS'!I167/1000</f>
        <v>0</v>
      </c>
      <c r="O170" s="201">
        <f>'Vykazy HELIOS'!J167/1000</f>
        <v>0</v>
      </c>
      <c r="P170" s="201">
        <f>'Vykazy HELIOS'!K167/1000</f>
        <v>0</v>
      </c>
      <c r="Q170" s="201">
        <f>'Vykazy HELIOS'!L167/1000</f>
        <v>0</v>
      </c>
      <c r="R170" s="201">
        <f>'Vykazy HELIOS'!M167/1000</f>
        <v>0</v>
      </c>
      <c r="S170" s="201">
        <f>'Vykazy HELIOS'!N167/1000</f>
        <v>0</v>
      </c>
      <c r="T170" s="201">
        <f>'Vykazy HELIOS'!O167/1000</f>
        <v>0</v>
      </c>
      <c r="U170" s="201">
        <f>'Vykazy HELIOS'!P167/1000</f>
        <v>0</v>
      </c>
      <c r="V170" s="201">
        <f>'Vykazy HELIOS'!Q167/1000</f>
        <v>0</v>
      </c>
      <c r="W170" s="201">
        <f>'Vykazy HELIOS'!R167/1000</f>
        <v>0</v>
      </c>
      <c r="X170" s="201">
        <f>'Vykazy HELIOS'!S167/1000</f>
        <v>0</v>
      </c>
      <c r="Y170" s="201">
        <f>'Vykazy HELIOS'!T167/1000</f>
        <v>0</v>
      </c>
      <c r="Z170" s="201">
        <f>'Vykazy HELIOS'!U167/1000</f>
        <v>0</v>
      </c>
      <c r="AC170" t="s">
        <v>914</v>
      </c>
      <c r="AD170" t="s">
        <v>915</v>
      </c>
      <c r="AE170">
        <v>101</v>
      </c>
      <c r="AF170">
        <v>0</v>
      </c>
      <c r="AG170">
        <v>0</v>
      </c>
      <c r="AH170">
        <v>0</v>
      </c>
      <c r="AI170">
        <v>0</v>
      </c>
      <c r="AJ170" t="s">
        <v>916</v>
      </c>
    </row>
    <row r="171" spans="2:36" x14ac:dyDescent="0.2">
      <c r="B171" s="184"/>
      <c r="D171" s="184" t="s">
        <v>52</v>
      </c>
      <c r="E171" t="s">
        <v>474</v>
      </c>
      <c r="F171" s="175"/>
      <c r="G171" s="175"/>
      <c r="H171" s="223">
        <v>94</v>
      </c>
      <c r="I171" s="221">
        <f>'Vykazy HELIOS'!D168/1000</f>
        <v>0</v>
      </c>
      <c r="J171" s="221">
        <f>'Vykazy HELIOS'!E168/1000</f>
        <v>0</v>
      </c>
      <c r="K171" s="221">
        <f>'Vykazy HELIOS'!F168/1000</f>
        <v>0</v>
      </c>
      <c r="L171" s="221">
        <f>'Vykazy HELIOS'!G168/1000</f>
        <v>0</v>
      </c>
      <c r="M171" s="221">
        <f>'Vykazy HELIOS'!H168/1000</f>
        <v>0</v>
      </c>
      <c r="N171" s="201">
        <f>'Vykazy HELIOS'!I168/1000</f>
        <v>0</v>
      </c>
      <c r="O171" s="201">
        <f>'Vykazy HELIOS'!J168/1000</f>
        <v>0</v>
      </c>
      <c r="P171" s="201">
        <f>'Vykazy HELIOS'!K168/1000</f>
        <v>0</v>
      </c>
      <c r="Q171" s="201">
        <f>'Vykazy HELIOS'!L168/1000</f>
        <v>0</v>
      </c>
      <c r="R171" s="201">
        <f>'Vykazy HELIOS'!M168/1000</f>
        <v>0</v>
      </c>
      <c r="S171" s="201">
        <f>'Vykazy HELIOS'!N168/1000</f>
        <v>0</v>
      </c>
      <c r="T171" s="201">
        <f>'Vykazy HELIOS'!O168/1000</f>
        <v>0</v>
      </c>
      <c r="U171" s="201">
        <f>'Vykazy HELIOS'!P168/1000</f>
        <v>0</v>
      </c>
      <c r="V171" s="201">
        <f>'Vykazy HELIOS'!Q168/1000</f>
        <v>0</v>
      </c>
      <c r="W171" s="201">
        <f>'Vykazy HELIOS'!R168/1000</f>
        <v>0</v>
      </c>
      <c r="X171" s="201">
        <f>'Vykazy HELIOS'!S168/1000</f>
        <v>0</v>
      </c>
      <c r="Y171" s="201">
        <f>'Vykazy HELIOS'!T168/1000</f>
        <v>0</v>
      </c>
      <c r="Z171" s="201">
        <f>'Vykazy HELIOS'!U168/1000</f>
        <v>0</v>
      </c>
      <c r="AC171" t="s">
        <v>91</v>
      </c>
      <c r="AD171" t="s">
        <v>466</v>
      </c>
      <c r="AE171">
        <v>102</v>
      </c>
      <c r="AF171">
        <v>732704913.87</v>
      </c>
      <c r="AG171">
        <v>-691246188.47000003</v>
      </c>
      <c r="AH171">
        <v>41458725.399999999</v>
      </c>
      <c r="AI171">
        <v>194975.33</v>
      </c>
      <c r="AJ171" t="s">
        <v>917</v>
      </c>
    </row>
    <row r="172" spans="2:36" x14ac:dyDescent="0.2">
      <c r="B172" s="184"/>
      <c r="D172" s="184" t="s">
        <v>54</v>
      </c>
      <c r="E172" t="s">
        <v>475</v>
      </c>
      <c r="F172" s="175"/>
      <c r="G172" s="175"/>
      <c r="H172" s="223">
        <v>95</v>
      </c>
      <c r="I172" s="221">
        <f>'Vykazy HELIOS'!D169/1000</f>
        <v>0</v>
      </c>
      <c r="J172" s="221">
        <f>'Vykazy HELIOS'!E169/1000</f>
        <v>0</v>
      </c>
      <c r="K172" s="221">
        <f>'Vykazy HELIOS'!F169/1000</f>
        <v>0</v>
      </c>
      <c r="L172" s="221">
        <f>'Vykazy HELIOS'!G169/1000</f>
        <v>0</v>
      </c>
      <c r="M172" s="221">
        <f>'Vykazy HELIOS'!H169/1000</f>
        <v>0</v>
      </c>
      <c r="N172" s="201">
        <f>'Vykazy HELIOS'!I169/1000</f>
        <v>0</v>
      </c>
      <c r="O172" s="201">
        <f>'Vykazy HELIOS'!J169/1000</f>
        <v>0</v>
      </c>
      <c r="P172" s="201">
        <f>'Vykazy HELIOS'!K169/1000</f>
        <v>0</v>
      </c>
      <c r="Q172" s="201">
        <f>'Vykazy HELIOS'!L169/1000</f>
        <v>0</v>
      </c>
      <c r="R172" s="201">
        <f>'Vykazy HELIOS'!M169/1000</f>
        <v>0</v>
      </c>
      <c r="S172" s="201">
        <f>'Vykazy HELIOS'!N169/1000</f>
        <v>0</v>
      </c>
      <c r="T172" s="201">
        <f>'Vykazy HELIOS'!O169/1000</f>
        <v>0</v>
      </c>
      <c r="U172" s="201">
        <f>'Vykazy HELIOS'!P169/1000</f>
        <v>0</v>
      </c>
      <c r="V172" s="201">
        <f>'Vykazy HELIOS'!Q169/1000</f>
        <v>0</v>
      </c>
      <c r="W172" s="201">
        <f>'Vykazy HELIOS'!R169/1000</f>
        <v>0</v>
      </c>
      <c r="X172" s="201">
        <f>'Vykazy HELIOS'!S169/1000</f>
        <v>0</v>
      </c>
      <c r="Y172" s="201">
        <f>'Vykazy HELIOS'!T169/1000</f>
        <v>0</v>
      </c>
      <c r="Z172" s="201">
        <f>'Vykazy HELIOS'!U169/1000</f>
        <v>0</v>
      </c>
      <c r="AC172" t="s">
        <v>918</v>
      </c>
      <c r="AD172" t="s">
        <v>919</v>
      </c>
      <c r="AE172">
        <v>103</v>
      </c>
      <c r="AF172">
        <v>0</v>
      </c>
      <c r="AG172">
        <v>0</v>
      </c>
      <c r="AH172">
        <v>0</v>
      </c>
      <c r="AI172">
        <v>0</v>
      </c>
      <c r="AJ172" t="s">
        <v>920</v>
      </c>
    </row>
    <row r="173" spans="2:36" x14ac:dyDescent="0.2">
      <c r="B173" s="184"/>
      <c r="D173" s="184" t="s">
        <v>56</v>
      </c>
      <c r="E173" t="s">
        <v>476</v>
      </c>
      <c r="F173" s="175"/>
      <c r="G173" s="175"/>
      <c r="H173" s="223">
        <v>96</v>
      </c>
      <c r="I173" s="221">
        <f>'Vykazy HELIOS'!D170/1000</f>
        <v>0</v>
      </c>
      <c r="J173" s="221">
        <f>'Vykazy HELIOS'!E170/1000</f>
        <v>0</v>
      </c>
      <c r="K173" s="221">
        <f>'Vykazy HELIOS'!F170/1000</f>
        <v>0</v>
      </c>
      <c r="L173" s="221">
        <f>'Vykazy HELIOS'!G170/1000</f>
        <v>0</v>
      </c>
      <c r="M173" s="221">
        <f>'Vykazy HELIOS'!H170/1000</f>
        <v>0</v>
      </c>
      <c r="N173" s="201">
        <f>'Vykazy HELIOS'!I170/1000</f>
        <v>0</v>
      </c>
      <c r="O173" s="201">
        <f>'Vykazy HELIOS'!J170/1000</f>
        <v>0</v>
      </c>
      <c r="P173" s="201">
        <f>'Vykazy HELIOS'!K170/1000</f>
        <v>0</v>
      </c>
      <c r="Q173" s="201">
        <f>'Vykazy HELIOS'!L170/1000</f>
        <v>0</v>
      </c>
      <c r="R173" s="201">
        <f>'Vykazy HELIOS'!M170/1000</f>
        <v>0</v>
      </c>
      <c r="S173" s="201">
        <f>'Vykazy HELIOS'!N170/1000</f>
        <v>0</v>
      </c>
      <c r="T173" s="201">
        <f>'Vykazy HELIOS'!O170/1000</f>
        <v>0</v>
      </c>
      <c r="U173" s="201">
        <f>'Vykazy HELIOS'!P170/1000</f>
        <v>0</v>
      </c>
      <c r="V173" s="201">
        <f>'Vykazy HELIOS'!Q170/1000</f>
        <v>0</v>
      </c>
      <c r="W173" s="201">
        <f>'Vykazy HELIOS'!R170/1000</f>
        <v>0</v>
      </c>
      <c r="X173" s="201">
        <f>'Vykazy HELIOS'!S170/1000</f>
        <v>0</v>
      </c>
      <c r="Y173" s="201">
        <f>'Vykazy HELIOS'!T170/1000</f>
        <v>0</v>
      </c>
      <c r="Z173" s="201">
        <f>'Vykazy HELIOS'!U170/1000</f>
        <v>0</v>
      </c>
      <c r="AC173" t="s">
        <v>921</v>
      </c>
      <c r="AD173" t="s">
        <v>467</v>
      </c>
      <c r="AE173">
        <v>104</v>
      </c>
      <c r="AF173">
        <v>104918871.04000001</v>
      </c>
      <c r="AG173">
        <v>0</v>
      </c>
      <c r="AH173">
        <v>104918871.04000001</v>
      </c>
      <c r="AI173">
        <v>157376073.65000001</v>
      </c>
      <c r="AJ173" t="s">
        <v>922</v>
      </c>
    </row>
    <row r="174" spans="2:36" x14ac:dyDescent="0.2">
      <c r="B174" s="184"/>
      <c r="D174" s="184" t="s">
        <v>279</v>
      </c>
      <c r="E174" t="s">
        <v>477</v>
      </c>
      <c r="F174" s="175"/>
      <c r="G174" s="175"/>
      <c r="H174" s="223">
        <v>97</v>
      </c>
      <c r="I174" s="114">
        <f>'Vykazy HELIOS'!D171/1000</f>
        <v>0</v>
      </c>
      <c r="J174" s="114">
        <f>'Vykazy HELIOS'!E171/1000</f>
        <v>0</v>
      </c>
      <c r="K174" s="114">
        <f>'Vykazy HELIOS'!F171/1000</f>
        <v>0</v>
      </c>
      <c r="L174" s="114">
        <f>'Vykazy HELIOS'!G171/1000</f>
        <v>0</v>
      </c>
      <c r="M174" s="114">
        <f>'Vykazy HELIOS'!H171/1000</f>
        <v>0</v>
      </c>
      <c r="N174" s="128">
        <f>'Vykazy HELIOS'!I171/1000</f>
        <v>0</v>
      </c>
      <c r="O174" s="128">
        <f>'Vykazy HELIOS'!J171/1000</f>
        <v>0</v>
      </c>
      <c r="P174" s="128">
        <f>'Vykazy HELIOS'!K171/1000</f>
        <v>0</v>
      </c>
      <c r="Q174" s="128">
        <f>'Vykazy HELIOS'!L171/1000</f>
        <v>0</v>
      </c>
      <c r="R174" s="128">
        <f>'Vykazy HELIOS'!M171/1000</f>
        <v>0</v>
      </c>
      <c r="S174" s="128">
        <f>'Vykazy HELIOS'!N171/1000</f>
        <v>0</v>
      </c>
      <c r="T174" s="128">
        <f>'Vykazy HELIOS'!O171/1000</f>
        <v>0</v>
      </c>
      <c r="U174" s="128">
        <f>'Vykazy HELIOS'!P171/1000</f>
        <v>0</v>
      </c>
      <c r="V174" s="128">
        <f>'Vykazy HELIOS'!Q171/1000</f>
        <v>0</v>
      </c>
      <c r="W174" s="128">
        <f>'Vykazy HELIOS'!R171/1000</f>
        <v>0</v>
      </c>
      <c r="X174" s="128">
        <f>'Vykazy HELIOS'!S171/1000</f>
        <v>0</v>
      </c>
      <c r="Y174" s="128">
        <f>'Vykazy HELIOS'!T171/1000</f>
        <v>0</v>
      </c>
      <c r="Z174" s="128">
        <f>'Vykazy HELIOS'!U171/1000</f>
        <v>0</v>
      </c>
      <c r="AC174" t="s">
        <v>10</v>
      </c>
      <c r="AD174" t="s">
        <v>468</v>
      </c>
      <c r="AE174">
        <v>105</v>
      </c>
      <c r="AF174">
        <v>136872.16</v>
      </c>
      <c r="AG174">
        <v>0</v>
      </c>
      <c r="AH174">
        <v>136872.16</v>
      </c>
      <c r="AI174">
        <v>135615.04000000001</v>
      </c>
      <c r="AJ174" t="s">
        <v>923</v>
      </c>
    </row>
    <row r="175" spans="2:36" x14ac:dyDescent="0.2">
      <c r="B175" s="184"/>
      <c r="D175" s="184" t="s">
        <v>58</v>
      </c>
      <c r="E175" t="s">
        <v>478</v>
      </c>
      <c r="F175" s="175"/>
      <c r="G175" s="175"/>
      <c r="H175" s="223">
        <v>98</v>
      </c>
      <c r="I175" s="114">
        <f>'Vykazy HELIOS'!D172/1000</f>
        <v>0</v>
      </c>
      <c r="J175" s="114">
        <f>'Vykazy HELIOS'!E172/1000</f>
        <v>0</v>
      </c>
      <c r="K175" s="114">
        <f>'Vykazy HELIOS'!F172/1000</f>
        <v>0</v>
      </c>
      <c r="L175" s="114">
        <f>'Vykazy HELIOS'!G172/1000</f>
        <v>0</v>
      </c>
      <c r="M175" s="114">
        <f>'Vykazy HELIOS'!H172/1000</f>
        <v>0</v>
      </c>
      <c r="N175" s="128">
        <f>'Vykazy HELIOS'!I172/1000</f>
        <v>0</v>
      </c>
      <c r="O175" s="128">
        <f>'Vykazy HELIOS'!J172/1000</f>
        <v>0</v>
      </c>
      <c r="P175" s="128">
        <f>'Vykazy HELIOS'!K172/1000</f>
        <v>0</v>
      </c>
      <c r="Q175" s="128">
        <f>'Vykazy HELIOS'!L172/1000</f>
        <v>0</v>
      </c>
      <c r="R175" s="128">
        <f>'Vykazy HELIOS'!M172/1000</f>
        <v>0</v>
      </c>
      <c r="S175" s="128">
        <f>'Vykazy HELIOS'!N172/1000</f>
        <v>0</v>
      </c>
      <c r="T175" s="128">
        <f>'Vykazy HELIOS'!O172/1000</f>
        <v>0</v>
      </c>
      <c r="U175" s="128">
        <f>'Vykazy HELIOS'!P172/1000</f>
        <v>0</v>
      </c>
      <c r="V175" s="128">
        <f>'Vykazy HELIOS'!Q172/1000</f>
        <v>0</v>
      </c>
      <c r="W175" s="128">
        <f>'Vykazy HELIOS'!R172/1000</f>
        <v>0</v>
      </c>
      <c r="X175" s="128">
        <f>'Vykazy HELIOS'!S172/1000</f>
        <v>0</v>
      </c>
      <c r="Y175" s="128">
        <f>'Vykazy HELIOS'!T172/1000</f>
        <v>0</v>
      </c>
      <c r="Z175" s="128">
        <f>'Vykazy HELIOS'!U172/1000</f>
        <v>0</v>
      </c>
      <c r="AC175" t="s">
        <v>536</v>
      </c>
      <c r="AD175" t="s">
        <v>924</v>
      </c>
      <c r="AE175">
        <v>106</v>
      </c>
      <c r="AF175">
        <v>0</v>
      </c>
      <c r="AG175">
        <v>0</v>
      </c>
      <c r="AH175">
        <v>0</v>
      </c>
      <c r="AI175">
        <v>0</v>
      </c>
      <c r="AJ175" t="s">
        <v>925</v>
      </c>
    </row>
    <row r="176" spans="2:36" x14ac:dyDescent="0.2">
      <c r="B176" s="184"/>
      <c r="D176" s="184" t="s">
        <v>398</v>
      </c>
      <c r="E176" t="s">
        <v>479</v>
      </c>
      <c r="F176" s="175"/>
      <c r="G176" s="175"/>
      <c r="H176" s="223">
        <v>99</v>
      </c>
      <c r="I176" s="114">
        <f>'Vykazy HELIOS'!D173/1000</f>
        <v>0</v>
      </c>
      <c r="J176" s="114">
        <f>'Vykazy HELIOS'!E173/1000</f>
        <v>0</v>
      </c>
      <c r="K176" s="114">
        <f>'Vykazy HELIOS'!F173/1000</f>
        <v>0</v>
      </c>
      <c r="L176" s="114">
        <f>'Vykazy HELIOS'!G173/1000</f>
        <v>0</v>
      </c>
      <c r="M176" s="114">
        <f>'Vykazy HELIOS'!H173/1000</f>
        <v>0</v>
      </c>
      <c r="N176" s="128">
        <f>'Vykazy HELIOS'!I173/1000</f>
        <v>0</v>
      </c>
      <c r="O176" s="128">
        <f>'Vykazy HELIOS'!J173/1000</f>
        <v>0</v>
      </c>
      <c r="P176" s="128">
        <f>'Vykazy HELIOS'!K173/1000</f>
        <v>0</v>
      </c>
      <c r="Q176" s="128">
        <f>'Vykazy HELIOS'!L173/1000</f>
        <v>0</v>
      </c>
      <c r="R176" s="128">
        <f>'Vykazy HELIOS'!M173/1000</f>
        <v>0</v>
      </c>
      <c r="S176" s="128">
        <f>'Vykazy HELIOS'!N173/1000</f>
        <v>0</v>
      </c>
      <c r="T176" s="128">
        <f>'Vykazy HELIOS'!O173/1000</f>
        <v>0</v>
      </c>
      <c r="U176" s="128">
        <f>'Vykazy HELIOS'!P173/1000</f>
        <v>0</v>
      </c>
      <c r="V176" s="128">
        <f>'Vykazy HELIOS'!Q173/1000</f>
        <v>0</v>
      </c>
      <c r="W176" s="128">
        <f>'Vykazy HELIOS'!R173/1000</f>
        <v>0</v>
      </c>
      <c r="X176" s="128">
        <f>'Vykazy HELIOS'!S173/1000</f>
        <v>0</v>
      </c>
      <c r="Y176" s="128">
        <f>'Vykazy HELIOS'!T173/1000</f>
        <v>0</v>
      </c>
      <c r="Z176" s="128">
        <f>'Vykazy HELIOS'!U173/1000</f>
        <v>0</v>
      </c>
      <c r="AC176" t="s">
        <v>538</v>
      </c>
      <c r="AD176" t="s">
        <v>926</v>
      </c>
      <c r="AE176">
        <v>107</v>
      </c>
      <c r="AF176">
        <v>0</v>
      </c>
      <c r="AG176">
        <v>0</v>
      </c>
      <c r="AH176">
        <v>0</v>
      </c>
      <c r="AI176">
        <v>0</v>
      </c>
      <c r="AJ176" t="s">
        <v>927</v>
      </c>
    </row>
    <row r="177" spans="2:36" x14ac:dyDescent="0.2">
      <c r="B177" s="184"/>
      <c r="D177" s="184" t="s">
        <v>404</v>
      </c>
      <c r="E177" t="s">
        <v>100</v>
      </c>
      <c r="F177" s="175"/>
      <c r="G177" s="175"/>
      <c r="H177" s="223">
        <v>100</v>
      </c>
      <c r="I177" s="114">
        <f>'Vykazy HELIOS'!D174/1000</f>
        <v>0</v>
      </c>
      <c r="J177" s="114">
        <f>'Vykazy HELIOS'!E174/1000</f>
        <v>0</v>
      </c>
      <c r="K177" s="114">
        <f>'Vykazy HELIOS'!F174/1000</f>
        <v>5692.8337300000003</v>
      </c>
      <c r="L177" s="114">
        <f>'Vykazy HELIOS'!G174/1000</f>
        <v>5525.8888200000001</v>
      </c>
      <c r="M177" s="114">
        <f>'Vykazy HELIOS'!H174/1000</f>
        <v>3633.2076000000002</v>
      </c>
      <c r="N177" s="128">
        <f>'Vykazy HELIOS'!I174/1000</f>
        <v>32981.705609999997</v>
      </c>
      <c r="O177" s="128">
        <f>'Vykazy HELIOS'!J174/1000</f>
        <v>9578.3438999999998</v>
      </c>
      <c r="P177" s="128">
        <f>'Vykazy HELIOS'!K174/1000</f>
        <v>1841.6736299999998</v>
      </c>
      <c r="Q177" s="128">
        <f>'Vykazy HELIOS'!L174/1000</f>
        <v>38480.411590000003</v>
      </c>
      <c r="R177" s="128">
        <f>'Vykazy HELIOS'!M174/1000</f>
        <v>80603.409010000003</v>
      </c>
      <c r="S177" s="128">
        <f>'Vykazy HELIOS'!N174/1000</f>
        <v>4094.4920999999999</v>
      </c>
      <c r="T177" s="128">
        <f>'Vykazy HELIOS'!O174/1000</f>
        <v>17274.084629999998</v>
      </c>
      <c r="U177" s="128">
        <f>'Vykazy HELIOS'!P174/1000</f>
        <v>11132.240169999999</v>
      </c>
      <c r="V177" s="128">
        <f>'Vykazy HELIOS'!Q174/1000</f>
        <v>5270.01883</v>
      </c>
      <c r="W177" s="128">
        <f>'Vykazy HELIOS'!R174/1000</f>
        <v>0</v>
      </c>
      <c r="X177" s="128">
        <f>'Vykazy HELIOS'!S174/1000</f>
        <v>7976.9820399999999</v>
      </c>
      <c r="Y177" s="128">
        <f>'Vykazy HELIOS'!T174/1000</f>
        <v>5745.7055300000002</v>
      </c>
      <c r="Z177" s="128">
        <f>'Vykazy HELIOS'!U174/1000</f>
        <v>3464.81158</v>
      </c>
      <c r="AC177" t="s">
        <v>540</v>
      </c>
      <c r="AD177" t="s">
        <v>469</v>
      </c>
      <c r="AE177">
        <v>108</v>
      </c>
      <c r="AF177">
        <v>0</v>
      </c>
      <c r="AG177">
        <v>0</v>
      </c>
      <c r="AH177">
        <v>0</v>
      </c>
      <c r="AI177">
        <v>0</v>
      </c>
      <c r="AJ177" t="s">
        <v>928</v>
      </c>
    </row>
    <row r="178" spans="2:36" x14ac:dyDescent="0.2">
      <c r="B178" s="185"/>
      <c r="C178" s="176"/>
      <c r="D178" s="185" t="s">
        <v>480</v>
      </c>
      <c r="E178" s="176" t="s">
        <v>215</v>
      </c>
      <c r="F178" s="177"/>
      <c r="G178" s="177"/>
      <c r="H178" s="224">
        <v>101</v>
      </c>
      <c r="I178" s="107">
        <f>'Vykazy HELIOS'!D175/1000</f>
        <v>0</v>
      </c>
      <c r="J178" s="107">
        <f>'Vykazy HELIOS'!E175/1000</f>
        <v>0</v>
      </c>
      <c r="K178" s="107">
        <f>'Vykazy HELIOS'!F175/1000</f>
        <v>0</v>
      </c>
      <c r="L178" s="107">
        <f>'Vykazy HELIOS'!G175/1000</f>
        <v>0</v>
      </c>
      <c r="M178" s="107">
        <f>'Vykazy HELIOS'!H175/1000</f>
        <v>0</v>
      </c>
      <c r="N178" s="125">
        <f>'Vykazy HELIOS'!I175/1000</f>
        <v>0</v>
      </c>
      <c r="O178" s="125">
        <f>'Vykazy HELIOS'!J175/1000</f>
        <v>0</v>
      </c>
      <c r="P178" s="125">
        <f>'Vykazy HELIOS'!K175/1000</f>
        <v>0</v>
      </c>
      <c r="Q178" s="125">
        <f>'Vykazy HELIOS'!L175/1000</f>
        <v>0</v>
      </c>
      <c r="R178" s="125">
        <f>'Vykazy HELIOS'!M175/1000</f>
        <v>0</v>
      </c>
      <c r="S178" s="125">
        <f>'Vykazy HELIOS'!N175/1000</f>
        <v>10.343999999999999</v>
      </c>
      <c r="T178" s="125">
        <f>'Vykazy HELIOS'!O175/1000</f>
        <v>0</v>
      </c>
      <c r="U178" s="125">
        <f>'Vykazy HELIOS'!P175/1000</f>
        <v>0</v>
      </c>
      <c r="V178" s="125">
        <f>'Vykazy HELIOS'!Q175/1000</f>
        <v>0</v>
      </c>
      <c r="W178" s="125">
        <f>'Vykazy HELIOS'!R175/1000</f>
        <v>0</v>
      </c>
      <c r="X178" s="125">
        <f>'Vykazy HELIOS'!S175/1000</f>
        <v>0</v>
      </c>
      <c r="Y178" s="125">
        <f>'Vykazy HELIOS'!T175/1000</f>
        <v>0</v>
      </c>
      <c r="Z178" s="125">
        <f>'Vykazy HELIOS'!U175/1000</f>
        <v>0</v>
      </c>
      <c r="AC178" t="s">
        <v>542</v>
      </c>
      <c r="AD178" t="s">
        <v>94</v>
      </c>
      <c r="AE178">
        <v>109</v>
      </c>
      <c r="AF178">
        <v>136872.16</v>
      </c>
      <c r="AG178">
        <v>0</v>
      </c>
      <c r="AH178">
        <v>136872.16</v>
      </c>
      <c r="AI178">
        <v>135615.04000000001</v>
      </c>
      <c r="AJ178" t="s">
        <v>929</v>
      </c>
    </row>
    <row r="179" spans="2:36" x14ac:dyDescent="0.2">
      <c r="B179" s="52" t="s">
        <v>60</v>
      </c>
      <c r="C179" s="57"/>
      <c r="D179" s="82" t="s">
        <v>96</v>
      </c>
      <c r="E179" s="81"/>
      <c r="F179" s="53"/>
      <c r="G179" s="53"/>
      <c r="H179" s="170">
        <v>102</v>
      </c>
      <c r="I179" s="60">
        <f t="shared" ref="I179:N179" si="267">SUM(I180:I190)</f>
        <v>30703</v>
      </c>
      <c r="J179" s="60">
        <f t="shared" si="267"/>
        <v>41534</v>
      </c>
      <c r="K179" s="60">
        <f t="shared" si="267"/>
        <v>47700.92972</v>
      </c>
      <c r="L179" s="60">
        <f t="shared" si="267"/>
        <v>53807.147900000004</v>
      </c>
      <c r="M179" s="60">
        <f t="shared" si="267"/>
        <v>58229.237909999996</v>
      </c>
      <c r="N179" s="61">
        <f t="shared" si="267"/>
        <v>56239.821319999995</v>
      </c>
      <c r="O179" s="61">
        <f t="shared" ref="O179:P179" si="268">SUM(O180:O190)</f>
        <v>60315.105969999997</v>
      </c>
      <c r="P179" s="61">
        <f t="shared" si="268"/>
        <v>54089.444660000008</v>
      </c>
      <c r="Q179" s="61">
        <f t="shared" ref="Q179:R179" si="269">SUM(Q180:Q190)</f>
        <v>61389.32974999999</v>
      </c>
      <c r="R179" s="61">
        <f t="shared" si="269"/>
        <v>63391.139220000005</v>
      </c>
      <c r="S179" s="61">
        <f t="shared" ref="S179:T179" si="270">SUM(S180:S190)</f>
        <v>69011.341759999996</v>
      </c>
      <c r="T179" s="61">
        <f t="shared" si="270"/>
        <v>58047.353140000007</v>
      </c>
      <c r="U179" s="61">
        <f t="shared" ref="U179:V179" si="271">SUM(U180:U190)</f>
        <v>37151.282599999999</v>
      </c>
      <c r="V179" s="61">
        <f t="shared" si="271"/>
        <v>28876.846419999998</v>
      </c>
      <c r="W179" s="61">
        <f t="shared" ref="W179:X179" si="272">SUM(W180:W190)</f>
        <v>36198.934880000001</v>
      </c>
      <c r="X179" s="61">
        <f t="shared" si="272"/>
        <v>28422.023039999996</v>
      </c>
      <c r="Y179" s="61">
        <f t="shared" ref="Y179:Z179" si="273">SUM(Y180:Y190)</f>
        <v>22722.22091</v>
      </c>
      <c r="Z179" s="61">
        <f t="shared" si="273"/>
        <v>12682.91106</v>
      </c>
      <c r="AC179" t="s">
        <v>14</v>
      </c>
      <c r="AD179" t="s">
        <v>930</v>
      </c>
      <c r="AE179">
        <v>110</v>
      </c>
      <c r="AF179">
        <v>104781998.88</v>
      </c>
      <c r="AG179">
        <v>0</v>
      </c>
      <c r="AH179">
        <v>104781998.88</v>
      </c>
      <c r="AI179">
        <v>157240458.61000001</v>
      </c>
      <c r="AJ179" t="s">
        <v>931</v>
      </c>
    </row>
    <row r="180" spans="2:36" x14ac:dyDescent="0.2">
      <c r="B180" s="31" t="s">
        <v>60</v>
      </c>
      <c r="C180" s="120"/>
      <c r="D180" s="134" t="s">
        <v>408</v>
      </c>
      <c r="E180" s="135" t="s">
        <v>472</v>
      </c>
      <c r="F180" s="122"/>
      <c r="G180" s="122"/>
      <c r="H180" s="222">
        <v>103</v>
      </c>
      <c r="I180" s="104">
        <f>'Vykazy HELIOS'!D177/1000</f>
        <v>26465</v>
      </c>
      <c r="J180" s="104">
        <f>'Vykazy HELIOS'!E177/1000</f>
        <v>30282</v>
      </c>
      <c r="K180" s="104">
        <f>'Vykazy HELIOS'!F177/1000</f>
        <v>33358.836360000001</v>
      </c>
      <c r="L180" s="104">
        <f>'Vykazy HELIOS'!G177/1000</f>
        <v>35632.436700000006</v>
      </c>
      <c r="M180" s="104">
        <f>'Vykazy HELIOS'!H177/1000</f>
        <v>39014.389649999997</v>
      </c>
      <c r="N180" s="123">
        <f>'Vykazy HELIOS'!I177/1000</f>
        <v>46275.173920000001</v>
      </c>
      <c r="O180" s="123">
        <f>'Vykazy HELIOS'!J177/1000</f>
        <v>52412.616459999997</v>
      </c>
      <c r="P180" s="123">
        <f>'Vykazy HELIOS'!K177/1000</f>
        <v>35705.661060000006</v>
      </c>
      <c r="Q180" s="123">
        <f>'Vykazy HELIOS'!L177/1000</f>
        <v>44190.813399999999</v>
      </c>
      <c r="R180" s="123">
        <f>'Vykazy HELIOS'!M177/1000</f>
        <v>50249.558270000001</v>
      </c>
      <c r="S180" s="123">
        <f>'Vykazy HELIOS'!N177/1000</f>
        <v>42617.205170000001</v>
      </c>
      <c r="T180" s="123">
        <f>'Vykazy HELIOS'!O177/1000</f>
        <v>41568.106340000006</v>
      </c>
      <c r="U180" s="123">
        <f>'Vykazy HELIOS'!P177/1000</f>
        <v>22217.886920000001</v>
      </c>
      <c r="V180" s="123">
        <f>'Vykazy HELIOS'!Q177/1000</f>
        <v>20394.707989999999</v>
      </c>
      <c r="W180" s="123">
        <f>'Vykazy HELIOS'!R177/1000</f>
        <v>24623.069629999998</v>
      </c>
      <c r="X180" s="123">
        <f>'Vykazy HELIOS'!S177/1000</f>
        <v>19161.204659999999</v>
      </c>
      <c r="Y180" s="123">
        <f>'Vykazy HELIOS'!T177/1000</f>
        <v>13697.44953</v>
      </c>
      <c r="Z180" s="123">
        <f>'Vykazy HELIOS'!U177/1000</f>
        <v>15871.70923</v>
      </c>
      <c r="AC180" t="s">
        <v>64</v>
      </c>
      <c r="AD180" t="s">
        <v>95</v>
      </c>
      <c r="AE180">
        <v>111</v>
      </c>
      <c r="AF180">
        <v>84920958.310000002</v>
      </c>
      <c r="AG180">
        <v>0</v>
      </c>
      <c r="AH180">
        <v>84920958.310000002</v>
      </c>
      <c r="AI180">
        <v>108493953.22</v>
      </c>
      <c r="AJ180" t="s">
        <v>932</v>
      </c>
    </row>
    <row r="181" spans="2:36" x14ac:dyDescent="0.2">
      <c r="B181" s="116"/>
      <c r="C181" s="126"/>
      <c r="D181" s="137" t="s">
        <v>51</v>
      </c>
      <c r="E181" s="71" t="s">
        <v>473</v>
      </c>
      <c r="F181" s="72"/>
      <c r="G181" s="72"/>
      <c r="H181" s="223">
        <v>104</v>
      </c>
      <c r="I181" s="114">
        <f>'Vykazy HELIOS'!D178/1000</f>
        <v>0</v>
      </c>
      <c r="J181" s="114">
        <f>'Vykazy HELIOS'!E178/1000</f>
        <v>0</v>
      </c>
      <c r="K181" s="114">
        <f>'Vykazy HELIOS'!F178/1000</f>
        <v>0</v>
      </c>
      <c r="L181" s="114">
        <f>'Vykazy HELIOS'!G178/1000</f>
        <v>0</v>
      </c>
      <c r="M181" s="114">
        <f>'Vykazy HELIOS'!H178/1000</f>
        <v>0</v>
      </c>
      <c r="N181" s="128">
        <f>'Vykazy HELIOS'!I178/1000</f>
        <v>0</v>
      </c>
      <c r="O181" s="128">
        <f>'Vykazy HELIOS'!J178/1000</f>
        <v>0</v>
      </c>
      <c r="P181" s="128">
        <f>'Vykazy HELIOS'!K178/1000</f>
        <v>0</v>
      </c>
      <c r="Q181" s="128">
        <f>'Vykazy HELIOS'!L178/1000</f>
        <v>0</v>
      </c>
      <c r="R181" s="128">
        <f>'Vykazy HELIOS'!M178/1000</f>
        <v>289.11399999999998</v>
      </c>
      <c r="S181" s="128">
        <f>'Vykazy HELIOS'!N178/1000</f>
        <v>0</v>
      </c>
      <c r="T181" s="128">
        <f>'Vykazy HELIOS'!O178/1000</f>
        <v>0</v>
      </c>
      <c r="U181" s="128">
        <f>'Vykazy HELIOS'!P178/1000</f>
        <v>0</v>
      </c>
      <c r="V181" s="128">
        <f>'Vykazy HELIOS'!Q178/1000</f>
        <v>0</v>
      </c>
      <c r="W181" s="128">
        <f>'Vykazy HELIOS'!R178/1000</f>
        <v>0</v>
      </c>
      <c r="X181" s="128">
        <f>'Vykazy HELIOS'!S178/1000</f>
        <v>0</v>
      </c>
      <c r="Y181" s="128">
        <f>'Vykazy HELIOS'!T178/1000</f>
        <v>0</v>
      </c>
      <c r="Z181" s="128">
        <f>'Vykazy HELIOS'!U178/1000</f>
        <v>0</v>
      </c>
      <c r="AC181" t="s">
        <v>798</v>
      </c>
      <c r="AD181" t="s">
        <v>477</v>
      </c>
      <c r="AE181">
        <v>112</v>
      </c>
      <c r="AF181">
        <v>0</v>
      </c>
      <c r="AG181">
        <v>0</v>
      </c>
      <c r="AH181">
        <v>0</v>
      </c>
      <c r="AI181">
        <v>0</v>
      </c>
      <c r="AJ181" t="s">
        <v>933</v>
      </c>
    </row>
    <row r="182" spans="2:36" x14ac:dyDescent="0.2">
      <c r="B182" s="116"/>
      <c r="C182" s="126"/>
      <c r="D182" s="137" t="s">
        <v>52</v>
      </c>
      <c r="E182" s="71" t="s">
        <v>474</v>
      </c>
      <c r="F182" s="72"/>
      <c r="G182" s="72"/>
      <c r="H182" s="223">
        <v>105</v>
      </c>
      <c r="I182" s="114">
        <f>'Vykazy HELIOS'!D179/1000</f>
        <v>0</v>
      </c>
      <c r="J182" s="114">
        <f>'Vykazy HELIOS'!E179/1000</f>
        <v>0</v>
      </c>
      <c r="K182" s="114">
        <f>'Vykazy HELIOS'!F179/1000</f>
        <v>0</v>
      </c>
      <c r="L182" s="114">
        <f>'Vykazy HELIOS'!G179/1000</f>
        <v>0</v>
      </c>
      <c r="M182" s="114">
        <f>'Vykazy HELIOS'!H179/1000</f>
        <v>0</v>
      </c>
      <c r="N182" s="128">
        <f>'Vykazy HELIOS'!I179/1000</f>
        <v>0</v>
      </c>
      <c r="O182" s="128">
        <f>'Vykazy HELIOS'!J179/1000</f>
        <v>0</v>
      </c>
      <c r="P182" s="128">
        <f>'Vykazy HELIOS'!K179/1000</f>
        <v>0</v>
      </c>
      <c r="Q182" s="128">
        <f>'Vykazy HELIOS'!L179/1000</f>
        <v>0</v>
      </c>
      <c r="R182" s="128">
        <f>'Vykazy HELIOS'!M179/1000</f>
        <v>0</v>
      </c>
      <c r="S182" s="128">
        <f>'Vykazy HELIOS'!N179/1000</f>
        <v>0</v>
      </c>
      <c r="T182" s="128">
        <f>'Vykazy HELIOS'!O179/1000</f>
        <v>0</v>
      </c>
      <c r="U182" s="128">
        <f>'Vykazy HELIOS'!P179/1000</f>
        <v>0</v>
      </c>
      <c r="V182" s="128">
        <f>'Vykazy HELIOS'!Q179/1000</f>
        <v>0</v>
      </c>
      <c r="W182" s="128">
        <f>'Vykazy HELIOS'!R179/1000</f>
        <v>0</v>
      </c>
      <c r="X182" s="128">
        <f>'Vykazy HELIOS'!S179/1000</f>
        <v>0</v>
      </c>
      <c r="Y182" s="128">
        <f>'Vykazy HELIOS'!T179/1000</f>
        <v>0</v>
      </c>
      <c r="Z182" s="128">
        <f>'Vykazy HELIOS'!U179/1000</f>
        <v>0</v>
      </c>
      <c r="AC182" t="s">
        <v>934</v>
      </c>
      <c r="AD182" t="s">
        <v>935</v>
      </c>
      <c r="AE182">
        <v>113</v>
      </c>
      <c r="AF182">
        <v>0</v>
      </c>
      <c r="AG182">
        <v>0</v>
      </c>
      <c r="AH182">
        <v>0</v>
      </c>
      <c r="AI182">
        <v>0</v>
      </c>
      <c r="AJ182" t="s">
        <v>936</v>
      </c>
    </row>
    <row r="183" spans="2:36" x14ac:dyDescent="0.2">
      <c r="B183" s="116"/>
      <c r="C183" s="126"/>
      <c r="D183" s="137" t="s">
        <v>54</v>
      </c>
      <c r="E183" s="71" t="s">
        <v>475</v>
      </c>
      <c r="F183" s="72"/>
      <c r="G183" s="72"/>
      <c r="H183" s="223">
        <v>106</v>
      </c>
      <c r="I183" s="114">
        <f>'Vykazy HELIOS'!D180/1000</f>
        <v>2776</v>
      </c>
      <c r="J183" s="114">
        <f>'Vykazy HELIOS'!E180/1000</f>
        <v>5291</v>
      </c>
      <c r="K183" s="114">
        <f>'Vykazy HELIOS'!F180/1000</f>
        <v>7596.01</v>
      </c>
      <c r="L183" s="114">
        <f>'Vykazy HELIOS'!G180/1000</f>
        <v>11982.75</v>
      </c>
      <c r="M183" s="114">
        <f>'Vykazy HELIOS'!H180/1000</f>
        <v>13914.27</v>
      </c>
      <c r="N183" s="128">
        <f>'Vykazy HELIOS'!I180/1000</f>
        <v>1933.93</v>
      </c>
      <c r="O183" s="128">
        <f>'Vykazy HELIOS'!J180/1000</f>
        <v>75.655000000000001</v>
      </c>
      <c r="P183" s="128">
        <f>'Vykazy HELIOS'!K180/1000</f>
        <v>3848.23</v>
      </c>
      <c r="Q183" s="128">
        <f>'Vykazy HELIOS'!L180/1000</f>
        <v>48.6</v>
      </c>
      <c r="R183" s="128">
        <f>'Vykazy HELIOS'!M180/1000</f>
        <v>52.34</v>
      </c>
      <c r="S183" s="128">
        <f>'Vykazy HELIOS'!N180/1000</f>
        <v>14034.079</v>
      </c>
      <c r="T183" s="128">
        <f>'Vykazy HELIOS'!O180/1000</f>
        <v>34.978000000000002</v>
      </c>
      <c r="U183" s="128">
        <f>'Vykazy HELIOS'!P180/1000</f>
        <v>35.451000000000001</v>
      </c>
      <c r="V183" s="128">
        <f>'Vykazy HELIOS'!Q180/1000</f>
        <v>39.823999999999998</v>
      </c>
      <c r="W183" s="128">
        <f>'Vykazy HELIOS'!R180/1000</f>
        <v>16.131</v>
      </c>
      <c r="X183" s="128">
        <f>'Vykazy HELIOS'!S180/1000</f>
        <v>28.084</v>
      </c>
      <c r="Y183" s="128">
        <f>'Vykazy HELIOS'!T180/1000</f>
        <v>33.26</v>
      </c>
      <c r="Z183" s="128">
        <f>'Vykazy HELIOS'!U180/1000</f>
        <v>0</v>
      </c>
      <c r="AC183" t="s">
        <v>937</v>
      </c>
      <c r="AD183" t="s">
        <v>938</v>
      </c>
      <c r="AE183">
        <v>114</v>
      </c>
      <c r="AF183">
        <v>0</v>
      </c>
      <c r="AG183">
        <v>0</v>
      </c>
      <c r="AH183">
        <v>0</v>
      </c>
      <c r="AI183">
        <v>0</v>
      </c>
      <c r="AJ183" t="s">
        <v>939</v>
      </c>
    </row>
    <row r="184" spans="2:36" x14ac:dyDescent="0.2">
      <c r="B184" s="116"/>
      <c r="C184" s="126"/>
      <c r="D184" s="137" t="s">
        <v>56</v>
      </c>
      <c r="E184" s="71" t="s">
        <v>97</v>
      </c>
      <c r="F184" s="72"/>
      <c r="G184" s="72"/>
      <c r="H184" s="223">
        <v>107</v>
      </c>
      <c r="I184" s="114">
        <f>'Vykazy HELIOS'!D181/1000</f>
        <v>1169</v>
      </c>
      <c r="J184" s="114">
        <f>'Vykazy HELIOS'!E181/1000</f>
        <v>2296</v>
      </c>
      <c r="K184" s="114">
        <f>'Vykazy HELIOS'!F181/1000</f>
        <v>4497.3140000000003</v>
      </c>
      <c r="L184" s="114">
        <f>'Vykazy HELIOS'!G181/1000</f>
        <v>5496.9384</v>
      </c>
      <c r="M184" s="114">
        <f>'Vykazy HELIOS'!H181/1000</f>
        <v>4275.1310000000003</v>
      </c>
      <c r="N184" s="128">
        <f>'Vykazy HELIOS'!I181/1000</f>
        <v>7042.9160000000002</v>
      </c>
      <c r="O184" s="128">
        <f>'Vykazy HELIOS'!J181/1000</f>
        <v>5535.8729999999996</v>
      </c>
      <c r="P184" s="128">
        <f>'Vykazy HELIOS'!K181/1000</f>
        <v>6047.45</v>
      </c>
      <c r="Q184" s="128">
        <f>'Vykazy HELIOS'!L181/1000</f>
        <v>6827.634</v>
      </c>
      <c r="R184" s="128">
        <f>'Vykazy HELIOS'!M181/1000</f>
        <v>8095.9551100000008</v>
      </c>
      <c r="S184" s="128">
        <f>'Vykazy HELIOS'!N181/1000</f>
        <v>7529.6861900000004</v>
      </c>
      <c r="T184" s="128">
        <f>'Vykazy HELIOS'!O181/1000</f>
        <v>9246.75</v>
      </c>
      <c r="U184" s="128">
        <f>'Vykazy HELIOS'!P181/1000</f>
        <v>10584.589599999999</v>
      </c>
      <c r="V184" s="128">
        <f>'Vykazy HELIOS'!Q181/1000</f>
        <v>6459.9522999999999</v>
      </c>
      <c r="W184" s="128">
        <f>'Vykazy HELIOS'!R181/1000</f>
        <v>8652.2776699999995</v>
      </c>
      <c r="X184" s="128">
        <f>'Vykazy HELIOS'!S181/1000</f>
        <v>7329.9772499999999</v>
      </c>
      <c r="Y184" s="128">
        <f>'Vykazy HELIOS'!T181/1000</f>
        <v>4705.5093499999994</v>
      </c>
      <c r="Z184" s="128">
        <f>'Vykazy HELIOS'!U181/1000</f>
        <v>-3565.5066499999998</v>
      </c>
      <c r="AC184" t="s">
        <v>800</v>
      </c>
      <c r="AD184" t="s">
        <v>940</v>
      </c>
      <c r="AE184">
        <v>115</v>
      </c>
      <c r="AF184">
        <v>79300660.579999998</v>
      </c>
      <c r="AG184">
        <v>0</v>
      </c>
      <c r="AH184">
        <v>79300660.579999998</v>
      </c>
      <c r="AI184">
        <v>100516971.18000001</v>
      </c>
      <c r="AJ184" t="s">
        <v>941</v>
      </c>
    </row>
    <row r="185" spans="2:36" x14ac:dyDescent="0.2">
      <c r="B185" s="116"/>
      <c r="C185" s="126"/>
      <c r="D185" s="137" t="s">
        <v>279</v>
      </c>
      <c r="E185" s="71" t="s">
        <v>481</v>
      </c>
      <c r="F185" s="72"/>
      <c r="G185" s="72"/>
      <c r="H185" s="223">
        <v>108</v>
      </c>
      <c r="I185" s="114">
        <f>'Vykazy HELIOS'!D182/1000</f>
        <v>183</v>
      </c>
      <c r="J185" s="114">
        <f>'Vykazy HELIOS'!E182/1000</f>
        <v>355</v>
      </c>
      <c r="K185" s="114">
        <f>'Vykazy HELIOS'!F182/1000</f>
        <v>455.65100000000001</v>
      </c>
      <c r="L185" s="114">
        <f>'Vykazy HELIOS'!G182/1000</f>
        <v>612.22299999999996</v>
      </c>
      <c r="M185" s="114">
        <f>'Vykazy HELIOS'!H182/1000</f>
        <v>696.90700000000004</v>
      </c>
      <c r="N185" s="128">
        <f>'Vykazy HELIOS'!I182/1000</f>
        <v>785.70399999999995</v>
      </c>
      <c r="O185" s="128">
        <f>'Vykazy HELIOS'!J182/1000</f>
        <v>880.71500000000003</v>
      </c>
      <c r="P185" s="128">
        <f>'Vykazy HELIOS'!K182/1000</f>
        <v>990.22299999999996</v>
      </c>
      <c r="Q185" s="128">
        <f>'Vykazy HELIOS'!L182/1000</f>
        <v>1049.2249999999999</v>
      </c>
      <c r="R185" s="128">
        <f>'Vykazy HELIOS'!M182/1000</f>
        <v>1041.4165800000001</v>
      </c>
      <c r="S185" s="128">
        <f>'Vykazy HELIOS'!N182/1000</f>
        <v>963.68790000000001</v>
      </c>
      <c r="T185" s="128">
        <f>'Vykazy HELIOS'!O182/1000</f>
        <v>1156.7473799999998</v>
      </c>
      <c r="U185" s="128">
        <f>'Vykazy HELIOS'!P182/1000</f>
        <v>1201.32051</v>
      </c>
      <c r="V185" s="128">
        <f>'Vykazy HELIOS'!Q182/1000</f>
        <v>1264.3653100000001</v>
      </c>
      <c r="W185" s="128">
        <f>'Vykazy HELIOS'!R182/1000</f>
        <v>2120.2015099999999</v>
      </c>
      <c r="X185" s="128">
        <f>'Vykazy HELIOS'!S182/1000</f>
        <v>1580.45543</v>
      </c>
      <c r="Y185" s="128">
        <f>'Vykazy HELIOS'!T182/1000</f>
        <v>1537.8912800000001</v>
      </c>
      <c r="Z185" s="128">
        <f>'Vykazy HELIOS'!U182/1000</f>
        <v>6.2232799999999999</v>
      </c>
      <c r="AC185" t="s">
        <v>802</v>
      </c>
      <c r="AD185" t="s">
        <v>476</v>
      </c>
      <c r="AE185">
        <v>116</v>
      </c>
      <c r="AF185">
        <v>0</v>
      </c>
      <c r="AG185">
        <v>0</v>
      </c>
      <c r="AH185">
        <v>0</v>
      </c>
      <c r="AI185">
        <v>0</v>
      </c>
      <c r="AJ185" t="s">
        <v>942</v>
      </c>
    </row>
    <row r="186" spans="2:36" x14ac:dyDescent="0.2">
      <c r="B186" s="116"/>
      <c r="C186" s="126"/>
      <c r="D186" s="137" t="s">
        <v>58</v>
      </c>
      <c r="E186" s="71" t="s">
        <v>99</v>
      </c>
      <c r="F186" s="72"/>
      <c r="G186" s="72"/>
      <c r="H186" s="223">
        <v>109</v>
      </c>
      <c r="I186" s="114">
        <f>'Vykazy HELIOS'!D183/1000</f>
        <v>55</v>
      </c>
      <c r="J186" s="114">
        <f>'Vykazy HELIOS'!E183/1000</f>
        <v>3237</v>
      </c>
      <c r="K186" s="114">
        <f>'Vykazy HELIOS'!F183/1000</f>
        <v>1654.989</v>
      </c>
      <c r="L186" s="114">
        <f>'Vykazy HELIOS'!G183/1000</f>
        <v>0</v>
      </c>
      <c r="M186" s="114">
        <f>'Vykazy HELIOS'!H183/1000</f>
        <v>254.54154</v>
      </c>
      <c r="N186" s="128">
        <f>'Vykazy HELIOS'!I183/1000</f>
        <v>0</v>
      </c>
      <c r="O186" s="128">
        <f>'Vykazy HELIOS'!J183/1000</f>
        <v>1307.82547</v>
      </c>
      <c r="P186" s="128">
        <f>'Vykazy HELIOS'!K183/1000</f>
        <v>7170.2957200000001</v>
      </c>
      <c r="Q186" s="128">
        <f>'Vykazy HELIOS'!L183/1000</f>
        <v>7482.4297800000004</v>
      </c>
      <c r="R186" s="128">
        <f>'Vykazy HELIOS'!M183/1000</f>
        <v>3604.2828</v>
      </c>
      <c r="S186" s="128">
        <f>'Vykazy HELIOS'!N183/1000</f>
        <v>3674.3837999999996</v>
      </c>
      <c r="T186" s="128">
        <f>'Vykazy HELIOS'!O183/1000</f>
        <v>5953.4831699999995</v>
      </c>
      <c r="U186" s="128">
        <f>'Vykazy HELIOS'!P183/1000</f>
        <v>2951.3467799999999</v>
      </c>
      <c r="V186" s="128">
        <f>'Vykazy HELIOS'!Q183/1000</f>
        <v>577.91481999999996</v>
      </c>
      <c r="W186" s="128">
        <f>'Vykazy HELIOS'!R183/1000</f>
        <v>677.60307</v>
      </c>
      <c r="X186" s="128">
        <f>'Vykazy HELIOS'!S183/1000</f>
        <v>292.30170000000004</v>
      </c>
      <c r="Y186" s="128">
        <f>'Vykazy HELIOS'!T183/1000</f>
        <v>2718.1107499999998</v>
      </c>
      <c r="Z186" s="128">
        <f>'Vykazy HELIOS'!U183/1000</f>
        <v>438.45956000000001</v>
      </c>
      <c r="AC186" t="s">
        <v>809</v>
      </c>
      <c r="AD186" t="s">
        <v>472</v>
      </c>
      <c r="AE186">
        <v>117</v>
      </c>
      <c r="AF186">
        <v>0</v>
      </c>
      <c r="AG186">
        <v>0</v>
      </c>
      <c r="AH186">
        <v>0</v>
      </c>
      <c r="AI186">
        <v>0</v>
      </c>
      <c r="AJ186" t="s">
        <v>943</v>
      </c>
    </row>
    <row r="187" spans="2:36" x14ac:dyDescent="0.2">
      <c r="B187" s="116"/>
      <c r="C187" s="126"/>
      <c r="D187" s="137" t="s">
        <v>398</v>
      </c>
      <c r="E187" s="71" t="s">
        <v>482</v>
      </c>
      <c r="F187" s="72"/>
      <c r="G187" s="72"/>
      <c r="H187" s="223">
        <v>110</v>
      </c>
      <c r="I187" s="114">
        <f>'Vykazy HELIOS'!D184/1000</f>
        <v>0</v>
      </c>
      <c r="J187" s="114">
        <f>'Vykazy HELIOS'!E184/1000</f>
        <v>0</v>
      </c>
      <c r="K187" s="114">
        <f>'Vykazy HELIOS'!F184/1000</f>
        <v>0</v>
      </c>
      <c r="L187" s="114">
        <f>'Vykazy HELIOS'!G184/1000</f>
        <v>0</v>
      </c>
      <c r="M187" s="114">
        <f>'Vykazy HELIOS'!H184/1000</f>
        <v>0</v>
      </c>
      <c r="N187" s="128">
        <f>'Vykazy HELIOS'!I184/1000</f>
        <v>0</v>
      </c>
      <c r="O187" s="128">
        <f>'Vykazy HELIOS'!J184/1000</f>
        <v>0</v>
      </c>
      <c r="P187" s="128">
        <f>'Vykazy HELIOS'!K184/1000</f>
        <v>0</v>
      </c>
      <c r="Q187" s="128">
        <f>'Vykazy HELIOS'!L184/1000</f>
        <v>0</v>
      </c>
      <c r="R187" s="128">
        <f>'Vykazy HELIOS'!M184/1000</f>
        <v>0</v>
      </c>
      <c r="S187" s="128">
        <f>'Vykazy HELIOS'!N184/1000</f>
        <v>0</v>
      </c>
      <c r="T187" s="128">
        <f>'Vykazy HELIOS'!O184/1000</f>
        <v>0</v>
      </c>
      <c r="U187" s="128">
        <f>'Vykazy HELIOS'!P184/1000</f>
        <v>0</v>
      </c>
      <c r="V187" s="128">
        <f>'Vykazy HELIOS'!Q184/1000</f>
        <v>0</v>
      </c>
      <c r="W187" s="128">
        <f>'Vykazy HELIOS'!R184/1000</f>
        <v>0</v>
      </c>
      <c r="X187" s="128">
        <f>'Vykazy HELIOS'!S184/1000</f>
        <v>0</v>
      </c>
      <c r="Y187" s="128">
        <f>'Vykazy HELIOS'!T184/1000</f>
        <v>0</v>
      </c>
      <c r="Z187" s="128">
        <f>'Vykazy HELIOS'!U184/1000</f>
        <v>0</v>
      </c>
      <c r="AC187" t="s">
        <v>811</v>
      </c>
      <c r="AD187" t="s">
        <v>478</v>
      </c>
      <c r="AE187">
        <v>118</v>
      </c>
      <c r="AF187">
        <v>0</v>
      </c>
      <c r="AG187">
        <v>0</v>
      </c>
      <c r="AH187">
        <v>0</v>
      </c>
      <c r="AI187">
        <v>0</v>
      </c>
      <c r="AJ187" t="s">
        <v>944</v>
      </c>
    </row>
    <row r="188" spans="2:36" x14ac:dyDescent="0.2">
      <c r="B188" s="116"/>
      <c r="C188" s="126"/>
      <c r="D188" s="137" t="s">
        <v>404</v>
      </c>
      <c r="E188" s="71" t="s">
        <v>477</v>
      </c>
      <c r="F188" s="72"/>
      <c r="G188" s="72"/>
      <c r="H188" s="223">
        <v>111</v>
      </c>
      <c r="I188" s="114">
        <f>'Vykazy HELIOS'!D185/1000</f>
        <v>0</v>
      </c>
      <c r="J188" s="114">
        <f>'Vykazy HELIOS'!E185/1000</f>
        <v>0</v>
      </c>
      <c r="K188" s="114">
        <f>'Vykazy HELIOS'!F185/1000</f>
        <v>0</v>
      </c>
      <c r="L188" s="114">
        <f>'Vykazy HELIOS'!G185/1000</f>
        <v>0</v>
      </c>
      <c r="M188" s="114">
        <f>'Vykazy HELIOS'!H185/1000</f>
        <v>0</v>
      </c>
      <c r="N188" s="128">
        <f>'Vykazy HELIOS'!I185/1000</f>
        <v>0</v>
      </c>
      <c r="O188" s="128">
        <f>'Vykazy HELIOS'!J185/1000</f>
        <v>0</v>
      </c>
      <c r="P188" s="128">
        <f>'Vykazy HELIOS'!K185/1000</f>
        <v>0</v>
      </c>
      <c r="Q188" s="128">
        <f>'Vykazy HELIOS'!L185/1000</f>
        <v>0</v>
      </c>
      <c r="R188" s="128">
        <f>'Vykazy HELIOS'!M185/1000</f>
        <v>0</v>
      </c>
      <c r="S188" s="128">
        <f>'Vykazy HELIOS'!N185/1000</f>
        <v>0</v>
      </c>
      <c r="T188" s="128">
        <f>'Vykazy HELIOS'!O185/1000</f>
        <v>0</v>
      </c>
      <c r="U188" s="128">
        <f>'Vykazy HELIOS'!P185/1000</f>
        <v>0</v>
      </c>
      <c r="V188" s="128">
        <f>'Vykazy HELIOS'!Q185/1000</f>
        <v>0</v>
      </c>
      <c r="W188" s="128">
        <f>'Vykazy HELIOS'!R185/1000</f>
        <v>0</v>
      </c>
      <c r="X188" s="128">
        <f>'Vykazy HELIOS'!S185/1000</f>
        <v>0</v>
      </c>
      <c r="Y188" s="128">
        <f>'Vykazy HELIOS'!T185/1000</f>
        <v>0</v>
      </c>
      <c r="Z188" s="128">
        <f>'Vykazy HELIOS'!U185/1000</f>
        <v>0</v>
      </c>
      <c r="AC188" t="s">
        <v>945</v>
      </c>
      <c r="AD188" t="s">
        <v>946</v>
      </c>
      <c r="AE188">
        <v>119</v>
      </c>
      <c r="AF188">
        <v>0</v>
      </c>
      <c r="AG188">
        <v>0</v>
      </c>
      <c r="AH188">
        <v>0</v>
      </c>
      <c r="AI188">
        <v>0</v>
      </c>
      <c r="AJ188" t="s">
        <v>947</v>
      </c>
    </row>
    <row r="189" spans="2:36" x14ac:dyDescent="0.2">
      <c r="B189" s="116"/>
      <c r="C189" s="126"/>
      <c r="D189" s="137" t="s">
        <v>480</v>
      </c>
      <c r="E189" s="71" t="s">
        <v>479</v>
      </c>
      <c r="F189" s="72"/>
      <c r="G189" s="72"/>
      <c r="H189" s="223">
        <v>112</v>
      </c>
      <c r="I189" s="114">
        <f>'Vykazy HELIOS'!D186/1000</f>
        <v>55</v>
      </c>
      <c r="J189" s="114">
        <f>'Vykazy HELIOS'!E186/1000</f>
        <v>73</v>
      </c>
      <c r="K189" s="114">
        <f>'Vykazy HELIOS'!F186/1000</f>
        <v>118.8365</v>
      </c>
      <c r="L189" s="114">
        <f>'Vykazy HELIOS'!G186/1000</f>
        <v>63.138800000000003</v>
      </c>
      <c r="M189" s="114">
        <f>'Vykazy HELIOS'!H186/1000</f>
        <v>70.355720000000005</v>
      </c>
      <c r="N189" s="128">
        <f>'Vykazy HELIOS'!I186/1000</f>
        <v>156.33240000000001</v>
      </c>
      <c r="O189" s="128">
        <f>'Vykazy HELIOS'!J186/1000</f>
        <v>102.42103999999999</v>
      </c>
      <c r="P189" s="128">
        <f>'Vykazy HELIOS'!K186/1000</f>
        <v>306.81188000000003</v>
      </c>
      <c r="Q189" s="128">
        <f>'Vykazy HELIOS'!L186/1000</f>
        <v>1790.6275700000001</v>
      </c>
      <c r="R189" s="128">
        <f>'Vykazy HELIOS'!M186/1000</f>
        <v>-13.077540000000001</v>
      </c>
      <c r="S189" s="128">
        <f>'Vykazy HELIOS'!N186/1000</f>
        <v>25</v>
      </c>
      <c r="T189" s="128">
        <f>'Vykazy HELIOS'!O186/1000</f>
        <v>26</v>
      </c>
      <c r="U189" s="128">
        <f>'Vykazy HELIOS'!P186/1000</f>
        <v>38.818069999999999</v>
      </c>
      <c r="V189" s="128">
        <f>'Vykazy HELIOS'!Q186/1000</f>
        <v>25</v>
      </c>
      <c r="W189" s="128">
        <f>'Vykazy HELIOS'!R186/1000</f>
        <v>30</v>
      </c>
      <c r="X189" s="128">
        <f>'Vykazy HELIOS'!S186/1000</f>
        <v>30</v>
      </c>
      <c r="Y189" s="128">
        <f>'Vykazy HELIOS'!T186/1000</f>
        <v>30</v>
      </c>
      <c r="Z189" s="128">
        <f>'Vykazy HELIOS'!U186/1000</f>
        <v>30</v>
      </c>
      <c r="AC189" t="s">
        <v>948</v>
      </c>
      <c r="AD189" t="s">
        <v>474</v>
      </c>
      <c r="AE189">
        <v>120</v>
      </c>
      <c r="AF189">
        <v>0</v>
      </c>
      <c r="AG189">
        <v>0</v>
      </c>
      <c r="AH189">
        <v>0</v>
      </c>
      <c r="AI189">
        <v>0</v>
      </c>
      <c r="AJ189" t="s">
        <v>949</v>
      </c>
    </row>
    <row r="190" spans="2:36" x14ac:dyDescent="0.2">
      <c r="B190" s="37"/>
      <c r="C190" s="75"/>
      <c r="D190" s="136" t="s">
        <v>483</v>
      </c>
      <c r="E190" s="76" t="s">
        <v>100</v>
      </c>
      <c r="F190" s="49"/>
      <c r="G190" s="49"/>
      <c r="H190" s="224">
        <v>113</v>
      </c>
      <c r="I190" s="107">
        <f>'Vykazy HELIOS'!D187/1000</f>
        <v>0</v>
      </c>
      <c r="J190" s="107">
        <f>'Vykazy HELIOS'!E187/1000</f>
        <v>0</v>
      </c>
      <c r="K190" s="107">
        <f>'Vykazy HELIOS'!F187/1000</f>
        <v>19.292860000000001</v>
      </c>
      <c r="L190" s="107">
        <f>'Vykazy HELIOS'!G187/1000</f>
        <v>19.661000000000001</v>
      </c>
      <c r="M190" s="107">
        <f>'Vykazy HELIOS'!H187/1000</f>
        <v>3.6429999999999998</v>
      </c>
      <c r="N190" s="125">
        <f>'Vykazy HELIOS'!I187/1000</f>
        <v>45.765000000000001</v>
      </c>
      <c r="O190" s="125">
        <f>'Vykazy HELIOS'!J187/1000</f>
        <v>0</v>
      </c>
      <c r="P190" s="125">
        <f>'Vykazy HELIOS'!K187/1000</f>
        <v>20.773</v>
      </c>
      <c r="Q190" s="125">
        <f>'Vykazy HELIOS'!L187/1000</f>
        <v>0</v>
      </c>
      <c r="R190" s="125">
        <f>'Vykazy HELIOS'!M187/1000</f>
        <v>71.55</v>
      </c>
      <c r="S190" s="125">
        <f>'Vykazy HELIOS'!N187/1000</f>
        <v>167.2997</v>
      </c>
      <c r="T190" s="125">
        <f>'Vykazy HELIOS'!O187/1000</f>
        <v>61.288249999999998</v>
      </c>
      <c r="U190" s="125">
        <f>'Vykazy HELIOS'!P187/1000</f>
        <v>121.86972</v>
      </c>
      <c r="V190" s="125">
        <f>'Vykazy HELIOS'!Q187/1000</f>
        <v>115.08199999999999</v>
      </c>
      <c r="W190" s="125">
        <f>'Vykazy HELIOS'!R187/1000</f>
        <v>79.652000000000001</v>
      </c>
      <c r="X190" s="125">
        <f>'Vykazy HELIOS'!S187/1000</f>
        <v>0</v>
      </c>
      <c r="Y190" s="125">
        <f>'Vykazy HELIOS'!T187/1000</f>
        <v>0</v>
      </c>
      <c r="Z190" s="125">
        <f>'Vykazy HELIOS'!U187/1000</f>
        <v>-97.974360000000004</v>
      </c>
      <c r="AC190" t="s">
        <v>950</v>
      </c>
      <c r="AD190" t="s">
        <v>215</v>
      </c>
      <c r="AE190">
        <v>121</v>
      </c>
      <c r="AF190">
        <v>0</v>
      </c>
      <c r="AG190">
        <v>0</v>
      </c>
      <c r="AH190">
        <v>0</v>
      </c>
      <c r="AI190">
        <v>0</v>
      </c>
      <c r="AJ190" t="s">
        <v>825</v>
      </c>
    </row>
    <row r="191" spans="2:36" x14ac:dyDescent="0.2">
      <c r="B191" s="52" t="s">
        <v>61</v>
      </c>
      <c r="C191" s="57"/>
      <c r="D191" s="82" t="s">
        <v>101</v>
      </c>
      <c r="E191" s="81"/>
      <c r="F191" s="53"/>
      <c r="G191" s="53"/>
      <c r="H191" s="170">
        <v>114</v>
      </c>
      <c r="I191" s="60">
        <f t="shared" ref="I191:N191" si="274">SUM(I192:I194)</f>
        <v>479</v>
      </c>
      <c r="J191" s="60">
        <f t="shared" si="274"/>
        <v>3485</v>
      </c>
      <c r="K191" s="60">
        <f t="shared" si="274"/>
        <v>4000</v>
      </c>
      <c r="L191" s="60">
        <f t="shared" si="274"/>
        <v>5000.7500499999996</v>
      </c>
      <c r="M191" s="60">
        <f t="shared" si="274"/>
        <v>4000</v>
      </c>
      <c r="N191" s="61">
        <f t="shared" si="274"/>
        <v>10000</v>
      </c>
      <c r="O191" s="61">
        <f t="shared" ref="O191:P191" si="275">SUM(O192:O194)</f>
        <v>28786.62715</v>
      </c>
      <c r="P191" s="61">
        <f t="shared" si="275"/>
        <v>37428.929939999995</v>
      </c>
      <c r="Q191" s="61">
        <f t="shared" ref="Q191:R191" si="276">SUM(Q192:Q194)</f>
        <v>28376.25</v>
      </c>
      <c r="R191" s="61">
        <f t="shared" si="276"/>
        <v>13768.38307</v>
      </c>
      <c r="S191" s="61">
        <f t="shared" ref="S191:T191" si="277">SUM(S192:S194)</f>
        <v>67678.563739999998</v>
      </c>
      <c r="T191" s="61">
        <f t="shared" si="277"/>
        <v>30166.567880000002</v>
      </c>
      <c r="U191" s="61">
        <f t="shared" ref="U191:V191" si="278">SUM(U192:U194)</f>
        <v>11072.06</v>
      </c>
      <c r="V191" s="61">
        <f t="shared" si="278"/>
        <v>1527.59</v>
      </c>
      <c r="W191" s="61">
        <f t="shared" ref="W191:X191" si="279">SUM(W192:W194)</f>
        <v>130017.34273999999</v>
      </c>
      <c r="X191" s="61">
        <f t="shared" si="279"/>
        <v>121133.75523000001</v>
      </c>
      <c r="Y191" s="61">
        <f t="shared" ref="Y191:Z191" si="280">SUM(Y192:Y194)</f>
        <v>80220.375780000002</v>
      </c>
      <c r="Z191" s="61">
        <f t="shared" si="280"/>
        <v>62083.592929999999</v>
      </c>
      <c r="AC191" t="s">
        <v>951</v>
      </c>
      <c r="AD191" t="s">
        <v>952</v>
      </c>
      <c r="AE191">
        <v>122</v>
      </c>
      <c r="AF191">
        <v>5620297.7300000004</v>
      </c>
      <c r="AG191">
        <v>0</v>
      </c>
      <c r="AH191">
        <v>5620297.7300000004</v>
      </c>
      <c r="AI191">
        <v>7976982.04</v>
      </c>
      <c r="AJ191" t="s">
        <v>953</v>
      </c>
    </row>
    <row r="192" spans="2:36" x14ac:dyDescent="0.2">
      <c r="B192" s="31" t="s">
        <v>61</v>
      </c>
      <c r="C192" s="120" t="s">
        <v>49</v>
      </c>
      <c r="D192" s="134" t="s">
        <v>102</v>
      </c>
      <c r="E192" s="135"/>
      <c r="F192" s="122"/>
      <c r="G192" s="122"/>
      <c r="H192" s="171">
        <v>115</v>
      </c>
      <c r="I192" s="104">
        <f>'Vykazy HELIOS'!D189/1000</f>
        <v>0</v>
      </c>
      <c r="J192" s="104">
        <f>'Vykazy HELIOS'!E189/1000</f>
        <v>0</v>
      </c>
      <c r="K192" s="104">
        <f>'Vykazy HELIOS'!F189/1000</f>
        <v>0</v>
      </c>
      <c r="L192" s="104">
        <f>'Vykazy HELIOS'!G189/1000</f>
        <v>0</v>
      </c>
      <c r="M192" s="104">
        <f>'Vykazy HELIOS'!H189/1000</f>
        <v>0</v>
      </c>
      <c r="N192" s="123">
        <f>'Vykazy HELIOS'!I189/1000</f>
        <v>0</v>
      </c>
      <c r="O192" s="123">
        <f>'Vykazy HELIOS'!J189/1000</f>
        <v>0</v>
      </c>
      <c r="P192" s="123">
        <f>'Vykazy HELIOS'!K189/1000</f>
        <v>0</v>
      </c>
      <c r="Q192" s="123">
        <f>'Vykazy HELIOS'!L189/1000</f>
        <v>0</v>
      </c>
      <c r="R192" s="123">
        <f>'Vykazy HELIOS'!M189/1000</f>
        <v>0</v>
      </c>
      <c r="S192" s="123">
        <f>'Vykazy HELIOS'!N189/1000</f>
        <v>41229.222000000002</v>
      </c>
      <c r="T192" s="123">
        <f>'Vykazy HELIOS'!O189/1000</f>
        <v>24104.325000000001</v>
      </c>
      <c r="U192" s="123">
        <f>'Vykazy HELIOS'!P189/1000</f>
        <v>11072.06</v>
      </c>
      <c r="V192" s="123">
        <f>'Vykazy HELIOS'!Q189/1000</f>
        <v>1527.59</v>
      </c>
      <c r="W192" s="123">
        <f>'Vykazy HELIOS'!R189/1000</f>
        <v>121316.34273999999</v>
      </c>
      <c r="X192" s="123">
        <f>'Vykazy HELIOS'!S189/1000</f>
        <v>100516.97118000001</v>
      </c>
      <c r="Y192" s="123">
        <f>'Vykazy HELIOS'!T189/1000</f>
        <v>80220.375780000002</v>
      </c>
      <c r="Z192" s="123">
        <f>'Vykazy HELIOS'!U189/1000</f>
        <v>62083.592929999999</v>
      </c>
      <c r="AC192" t="s">
        <v>954</v>
      </c>
      <c r="AD192" t="s">
        <v>955</v>
      </c>
      <c r="AE192">
        <v>123</v>
      </c>
      <c r="AF192">
        <v>0</v>
      </c>
      <c r="AG192">
        <v>0</v>
      </c>
      <c r="AH192">
        <v>0</v>
      </c>
      <c r="AI192">
        <v>0</v>
      </c>
      <c r="AJ192" t="s">
        <v>956</v>
      </c>
    </row>
    <row r="193" spans="2:36" x14ac:dyDescent="0.2">
      <c r="B193" s="116"/>
      <c r="C193" s="126" t="s">
        <v>51</v>
      </c>
      <c r="D193" s="137" t="s">
        <v>103</v>
      </c>
      <c r="E193" s="71"/>
      <c r="F193" s="72"/>
      <c r="G193" s="72"/>
      <c r="H193" s="169">
        <v>116</v>
      </c>
      <c r="I193" s="114">
        <f>'Vykazy HELIOS'!D190/1000</f>
        <v>0</v>
      </c>
      <c r="J193" s="114">
        <f>'Vykazy HELIOS'!E190/1000</f>
        <v>3000</v>
      </c>
      <c r="K193" s="114">
        <f>'Vykazy HELIOS'!F190/1000</f>
        <v>4000</v>
      </c>
      <c r="L193" s="114">
        <f>'Vykazy HELIOS'!G190/1000</f>
        <v>5000.7500499999996</v>
      </c>
      <c r="M193" s="114">
        <f>'Vykazy HELIOS'!H190/1000</f>
        <v>4000</v>
      </c>
      <c r="N193" s="128">
        <f>'Vykazy HELIOS'!I190/1000</f>
        <v>10000</v>
      </c>
      <c r="O193" s="128">
        <f>'Vykazy HELIOS'!J190/1000</f>
        <v>28786.62715</v>
      </c>
      <c r="P193" s="128">
        <f>'Vykazy HELIOS'!K190/1000</f>
        <v>37428.929939999995</v>
      </c>
      <c r="Q193" s="128">
        <f>'Vykazy HELIOS'!L190/1000</f>
        <v>28376.25</v>
      </c>
      <c r="R193" s="128">
        <f>'Vykazy HELIOS'!M190/1000</f>
        <v>13768.38307</v>
      </c>
      <c r="S193" s="128">
        <f>'Vykazy HELIOS'!N190/1000</f>
        <v>26449.34174</v>
      </c>
      <c r="T193" s="128">
        <f>'Vykazy HELIOS'!O190/1000</f>
        <v>6062.2428799999998</v>
      </c>
      <c r="U193" s="128">
        <f>'Vykazy HELIOS'!P190/1000</f>
        <v>0</v>
      </c>
      <c r="V193" s="128">
        <f>'Vykazy HELIOS'!Q190/1000</f>
        <v>0</v>
      </c>
      <c r="W193" s="128">
        <f>'Vykazy HELIOS'!R190/1000</f>
        <v>8701</v>
      </c>
      <c r="X193" s="128">
        <f>'Vykazy HELIOS'!S190/1000</f>
        <v>20616.784050000002</v>
      </c>
      <c r="Y193" s="128">
        <f>'Vykazy HELIOS'!T190/1000</f>
        <v>0</v>
      </c>
      <c r="Z193" s="128">
        <f>'Vykazy HELIOS'!U190/1000</f>
        <v>0</v>
      </c>
      <c r="AC193" t="s">
        <v>957</v>
      </c>
      <c r="AD193" t="s">
        <v>479</v>
      </c>
      <c r="AE193">
        <v>124</v>
      </c>
      <c r="AF193">
        <v>0</v>
      </c>
      <c r="AG193">
        <v>0</v>
      </c>
      <c r="AH193">
        <v>0</v>
      </c>
      <c r="AI193">
        <v>0</v>
      </c>
      <c r="AJ193" t="s">
        <v>958</v>
      </c>
    </row>
    <row r="194" spans="2:36" x14ac:dyDescent="0.2">
      <c r="B194" s="37"/>
      <c r="C194" s="75">
        <v>3</v>
      </c>
      <c r="D194" s="136" t="s">
        <v>104</v>
      </c>
      <c r="E194" s="76"/>
      <c r="F194" s="49"/>
      <c r="G194" s="49"/>
      <c r="H194" s="172">
        <v>117</v>
      </c>
      <c r="I194" s="107">
        <f>'Vykazy HELIOS'!D191/1000</f>
        <v>479</v>
      </c>
      <c r="J194" s="107">
        <f>'Vykazy HELIOS'!E191/1000</f>
        <v>485</v>
      </c>
      <c r="K194" s="107">
        <f>'Vykazy HELIOS'!F191/1000</f>
        <v>0</v>
      </c>
      <c r="L194" s="107">
        <f>'Vykazy HELIOS'!G191/1000</f>
        <v>0</v>
      </c>
      <c r="M194" s="107">
        <f>'Vykazy HELIOS'!H191/1000</f>
        <v>0</v>
      </c>
      <c r="N194" s="125">
        <f>'Vykazy HELIOS'!I191/1000</f>
        <v>0</v>
      </c>
      <c r="O194" s="125">
        <f>'Vykazy HELIOS'!J191/1000</f>
        <v>0</v>
      </c>
      <c r="P194" s="125">
        <f>'Vykazy HELIOS'!K191/1000</f>
        <v>0</v>
      </c>
      <c r="Q194" s="125">
        <f>'Vykazy HELIOS'!L191/1000</f>
        <v>0</v>
      </c>
      <c r="R194" s="125">
        <f>'Vykazy HELIOS'!M191/1000</f>
        <v>0</v>
      </c>
      <c r="S194" s="125">
        <f>'Vykazy HELIOS'!N191/1000</f>
        <v>0</v>
      </c>
      <c r="T194" s="125">
        <f>'Vykazy HELIOS'!O191/1000</f>
        <v>0</v>
      </c>
      <c r="U194" s="125">
        <f>'Vykazy HELIOS'!P191/1000</f>
        <v>0</v>
      </c>
      <c r="V194" s="125">
        <f>'Vykazy HELIOS'!Q191/1000</f>
        <v>0</v>
      </c>
      <c r="W194" s="125">
        <f>'Vykazy HELIOS'!R191/1000</f>
        <v>0</v>
      </c>
      <c r="X194" s="125">
        <f>'Vykazy HELIOS'!S191/1000</f>
        <v>0</v>
      </c>
      <c r="Y194" s="125">
        <f>'Vykazy HELIOS'!T191/1000</f>
        <v>0</v>
      </c>
      <c r="Z194" s="125">
        <f>'Vykazy HELIOS'!U191/1000</f>
        <v>0</v>
      </c>
      <c r="AC194" t="s">
        <v>959</v>
      </c>
      <c r="AD194" t="s">
        <v>100</v>
      </c>
      <c r="AE194">
        <v>125</v>
      </c>
      <c r="AF194">
        <v>5620297.7300000004</v>
      </c>
      <c r="AG194">
        <v>0</v>
      </c>
      <c r="AH194">
        <v>5620297.7300000004</v>
      </c>
      <c r="AI194">
        <v>7976982.04</v>
      </c>
      <c r="AJ194" t="s">
        <v>960</v>
      </c>
    </row>
    <row r="195" spans="2:36" x14ac:dyDescent="0.2">
      <c r="B195" s="52" t="s">
        <v>64</v>
      </c>
      <c r="C195" s="44"/>
      <c r="D195" s="82" t="s">
        <v>203</v>
      </c>
      <c r="E195" s="81"/>
      <c r="F195" s="53"/>
      <c r="G195" s="53"/>
      <c r="H195" s="170">
        <v>118</v>
      </c>
      <c r="I195" s="60">
        <f>I196+I197</f>
        <v>0</v>
      </c>
      <c r="J195" s="60">
        <f t="shared" ref="J195:N195" si="281">J196+J197</f>
        <v>0</v>
      </c>
      <c r="K195" s="60">
        <f t="shared" si="281"/>
        <v>439.50774000000001</v>
      </c>
      <c r="L195" s="60">
        <f t="shared" si="281"/>
        <v>106.69585000000001</v>
      </c>
      <c r="M195" s="60">
        <f t="shared" si="281"/>
        <v>66.027539999999988</v>
      </c>
      <c r="N195" s="60">
        <f t="shared" si="281"/>
        <v>10.952450000000001</v>
      </c>
      <c r="O195" s="60">
        <f t="shared" ref="O195:P195" si="282">O196+O197</f>
        <v>17.030930000000001</v>
      </c>
      <c r="P195" s="60">
        <f t="shared" si="282"/>
        <v>47.664070000000002</v>
      </c>
      <c r="Q195" s="60">
        <f t="shared" ref="Q195:R195" si="283">Q196+Q197</f>
        <v>0</v>
      </c>
      <c r="R195" s="60">
        <f t="shared" si="283"/>
        <v>34.919050000000006</v>
      </c>
      <c r="S195" s="60">
        <f t="shared" ref="S195:T195" si="284">S196+S197</f>
        <v>451.82534999999996</v>
      </c>
      <c r="T195" s="60">
        <f t="shared" si="284"/>
        <v>534.90680000000009</v>
      </c>
      <c r="U195" s="60">
        <f t="shared" ref="U195:V195" si="285">U196+U197</f>
        <v>311.88078999999999</v>
      </c>
      <c r="V195" s="60">
        <f t="shared" si="285"/>
        <v>1047.4727600000001</v>
      </c>
      <c r="W195" s="60">
        <f t="shared" ref="W195:X195" si="286">W196+W197</f>
        <v>1060.7300700000001</v>
      </c>
      <c r="X195" s="60">
        <f t="shared" si="286"/>
        <v>1319.19695</v>
      </c>
      <c r="Y195" s="60">
        <f t="shared" ref="Y195:Z195" si="287">Y196+Y197</f>
        <v>1610.2561799999999</v>
      </c>
      <c r="Z195" s="60">
        <f t="shared" si="287"/>
        <v>0</v>
      </c>
      <c r="AC195" t="s">
        <v>71</v>
      </c>
      <c r="AD195" t="s">
        <v>96</v>
      </c>
      <c r="AE195">
        <v>126</v>
      </c>
      <c r="AF195">
        <v>19861040.57</v>
      </c>
      <c r="AG195">
        <v>0</v>
      </c>
      <c r="AH195">
        <v>19861040.57</v>
      </c>
      <c r="AI195">
        <v>48746505.390000001</v>
      </c>
      <c r="AJ195" t="s">
        <v>961</v>
      </c>
    </row>
    <row r="196" spans="2:36" x14ac:dyDescent="0.2">
      <c r="B196" s="191"/>
      <c r="C196" s="103"/>
      <c r="D196" s="45" t="s">
        <v>419</v>
      </c>
      <c r="E196" s="121" t="s">
        <v>487</v>
      </c>
      <c r="F196" s="194"/>
      <c r="G196" s="194"/>
      <c r="H196" s="197">
        <v>119</v>
      </c>
      <c r="I196" s="200">
        <f>'Vykazy HELIOS'!D193/1000</f>
        <v>0</v>
      </c>
      <c r="J196" s="200">
        <f>'Vykazy HELIOS'!E193/1000</f>
        <v>0</v>
      </c>
      <c r="K196" s="200">
        <f>'Vykazy HELIOS'!F193/1000</f>
        <v>439.50774000000001</v>
      </c>
      <c r="L196" s="200">
        <f>'Vykazy HELIOS'!G193/1000</f>
        <v>106.69585000000001</v>
      </c>
      <c r="M196" s="200">
        <f>'Vykazy HELIOS'!H193/1000</f>
        <v>66.027539999999988</v>
      </c>
      <c r="N196" s="200">
        <f>'Vykazy HELIOS'!I193/1000</f>
        <v>10.952450000000001</v>
      </c>
      <c r="O196" s="200">
        <f>'Vykazy HELIOS'!J193/1000</f>
        <v>17.030930000000001</v>
      </c>
      <c r="P196" s="200">
        <f>'Vykazy HELIOS'!K193/1000</f>
        <v>47.664070000000002</v>
      </c>
      <c r="Q196" s="200">
        <f>'Vykazy HELIOS'!L193/1000</f>
        <v>0</v>
      </c>
      <c r="R196" s="200">
        <f>'Vykazy HELIOS'!M193/1000</f>
        <v>34.919050000000006</v>
      </c>
      <c r="S196" s="200">
        <f>'Vykazy HELIOS'!N193/1000</f>
        <v>451.82534999999996</v>
      </c>
      <c r="T196" s="200">
        <f>'Vykazy HELIOS'!O193/1000</f>
        <v>534.90680000000009</v>
      </c>
      <c r="U196" s="200">
        <f>'Vykazy HELIOS'!P193/1000</f>
        <v>311.88078999999999</v>
      </c>
      <c r="V196" s="200">
        <f>'Vykazy HELIOS'!Q193/1000</f>
        <v>1047.4727600000001</v>
      </c>
      <c r="W196" s="200">
        <f>'Vykazy HELIOS'!R193/1000</f>
        <v>1060.7300700000001</v>
      </c>
      <c r="X196" s="200">
        <f>'Vykazy HELIOS'!S193/1000</f>
        <v>1025.7807499999999</v>
      </c>
      <c r="Y196" s="200">
        <f>'Vykazy HELIOS'!T193/1000</f>
        <v>1302.99064</v>
      </c>
      <c r="Z196" s="200">
        <f>'Vykazy HELIOS'!U193/1000</f>
        <v>0</v>
      </c>
      <c r="AC196" t="s">
        <v>815</v>
      </c>
      <c r="AD196" t="s">
        <v>477</v>
      </c>
      <c r="AE196">
        <v>127</v>
      </c>
      <c r="AF196">
        <v>0</v>
      </c>
      <c r="AG196">
        <v>0</v>
      </c>
      <c r="AH196">
        <v>0</v>
      </c>
      <c r="AI196">
        <v>0</v>
      </c>
      <c r="AJ196" t="s">
        <v>933</v>
      </c>
    </row>
    <row r="197" spans="2:36" x14ac:dyDescent="0.2">
      <c r="B197" s="47"/>
      <c r="C197" s="105"/>
      <c r="D197" s="225" t="s">
        <v>51</v>
      </c>
      <c r="E197" s="48" t="s">
        <v>488</v>
      </c>
      <c r="F197" s="207"/>
      <c r="G197" s="207"/>
      <c r="H197" s="226">
        <v>120</v>
      </c>
      <c r="I197" s="78">
        <f>'Vykazy HELIOS'!D194/1000</f>
        <v>0</v>
      </c>
      <c r="J197" s="78">
        <f>'Vykazy HELIOS'!E194/1000</f>
        <v>0</v>
      </c>
      <c r="K197" s="78">
        <f>'Vykazy HELIOS'!F194/1000</f>
        <v>0</v>
      </c>
      <c r="L197" s="78">
        <f>'Vykazy HELIOS'!G194/1000</f>
        <v>0</v>
      </c>
      <c r="M197" s="78">
        <f>'Vykazy HELIOS'!H194/1000</f>
        <v>0</v>
      </c>
      <c r="N197" s="78">
        <f>'Vykazy HELIOS'!I194/1000</f>
        <v>0</v>
      </c>
      <c r="O197" s="78">
        <f>'Vykazy HELIOS'!J194/1000</f>
        <v>0</v>
      </c>
      <c r="P197" s="78">
        <f>'Vykazy HELIOS'!K194/1000</f>
        <v>0</v>
      </c>
      <c r="Q197" s="78">
        <f>'Vykazy HELIOS'!L194/1000</f>
        <v>0</v>
      </c>
      <c r="R197" s="78">
        <f>'Vykazy HELIOS'!M194/1000</f>
        <v>0</v>
      </c>
      <c r="S197" s="78">
        <f>'Vykazy HELIOS'!N194/1000</f>
        <v>0</v>
      </c>
      <c r="T197" s="78">
        <f>'Vykazy HELIOS'!O194/1000</f>
        <v>0</v>
      </c>
      <c r="U197" s="78">
        <f>'Vykazy HELIOS'!P194/1000</f>
        <v>0</v>
      </c>
      <c r="V197" s="78">
        <f>'Vykazy HELIOS'!Q194/1000</f>
        <v>0</v>
      </c>
      <c r="W197" s="78">
        <f>'Vykazy HELIOS'!R194/1000</f>
        <v>0</v>
      </c>
      <c r="X197" s="78">
        <f>'Vykazy HELIOS'!S194/1000</f>
        <v>293.4162</v>
      </c>
      <c r="Y197" s="78">
        <f>'Vykazy HELIOS'!T194/1000</f>
        <v>307.26553999999999</v>
      </c>
      <c r="Z197" s="78">
        <f>'Vykazy HELIOS'!U194/1000</f>
        <v>0</v>
      </c>
      <c r="AC197" t="s">
        <v>817</v>
      </c>
      <c r="AD197" t="s">
        <v>935</v>
      </c>
      <c r="AE197">
        <v>128</v>
      </c>
      <c r="AF197">
        <v>0</v>
      </c>
      <c r="AG197">
        <v>0</v>
      </c>
      <c r="AH197">
        <v>0</v>
      </c>
      <c r="AI197">
        <v>0</v>
      </c>
      <c r="AJ197" t="s">
        <v>936</v>
      </c>
    </row>
    <row r="198" spans="2:36" x14ac:dyDescent="0.2">
      <c r="AC198" t="s">
        <v>819</v>
      </c>
      <c r="AD198" t="s">
        <v>938</v>
      </c>
      <c r="AE198">
        <v>129</v>
      </c>
      <c r="AF198">
        <v>0</v>
      </c>
      <c r="AG198">
        <v>0</v>
      </c>
      <c r="AH198">
        <v>0</v>
      </c>
      <c r="AI198">
        <v>0</v>
      </c>
      <c r="AJ198" t="s">
        <v>939</v>
      </c>
    </row>
    <row r="199" spans="2:36" x14ac:dyDescent="0.2">
      <c r="B199" s="69"/>
      <c r="C199" s="69"/>
      <c r="D199" s="83" t="s">
        <v>106</v>
      </c>
      <c r="E199" s="83"/>
      <c r="F199" s="84"/>
      <c r="G199" s="84"/>
      <c r="H199" s="84"/>
      <c r="I199" s="83">
        <f t="shared" ref="I199:N199" si="288">I75-I144</f>
        <v>0</v>
      </c>
      <c r="J199" s="83">
        <f t="shared" si="288"/>
        <v>0</v>
      </c>
      <c r="K199" s="83">
        <f t="shared" si="288"/>
        <v>0</v>
      </c>
      <c r="L199" s="83">
        <f t="shared" si="288"/>
        <v>0</v>
      </c>
      <c r="M199" s="83">
        <f t="shared" si="288"/>
        <v>0</v>
      </c>
      <c r="N199" s="83">
        <f t="shared" si="288"/>
        <v>0</v>
      </c>
      <c r="O199" s="83">
        <f t="shared" ref="O199:P199" si="289">O75-O144</f>
        <v>0</v>
      </c>
      <c r="P199" s="83">
        <f t="shared" si="289"/>
        <v>0</v>
      </c>
      <c r="Q199" s="83">
        <f t="shared" ref="Q199:R199" si="290">Q75-Q144</f>
        <v>0</v>
      </c>
      <c r="R199" s="83">
        <f t="shared" si="290"/>
        <v>0</v>
      </c>
      <c r="S199" s="83">
        <f t="shared" ref="S199:T199" si="291">S75-S144</f>
        <v>0</v>
      </c>
      <c r="T199" s="83">
        <f t="shared" si="291"/>
        <v>4976.403890000016</v>
      </c>
      <c r="U199" s="83">
        <f t="shared" ref="U199:V199" si="292">U75-U144</f>
        <v>0</v>
      </c>
      <c r="V199" s="83">
        <f t="shared" si="292"/>
        <v>0</v>
      </c>
      <c r="W199" s="83">
        <f t="shared" ref="W199:X199" si="293">W75-W144</f>
        <v>0</v>
      </c>
      <c r="X199" s="83">
        <f t="shared" si="293"/>
        <v>0</v>
      </c>
      <c r="Y199" s="83">
        <f t="shared" ref="Y199:Z199" si="294">Y75-Y144</f>
        <v>0</v>
      </c>
      <c r="Z199" s="83">
        <f t="shared" si="294"/>
        <v>-0.9857299999857787</v>
      </c>
      <c r="AC199" t="s">
        <v>838</v>
      </c>
      <c r="AD199" t="s">
        <v>940</v>
      </c>
      <c r="AE199">
        <v>130</v>
      </c>
      <c r="AF199">
        <v>0</v>
      </c>
      <c r="AG199">
        <v>0</v>
      </c>
      <c r="AH199">
        <v>0</v>
      </c>
      <c r="AI199">
        <v>20616784.050000001</v>
      </c>
      <c r="AJ199" t="s">
        <v>941</v>
      </c>
    </row>
    <row r="200" spans="2:36" x14ac:dyDescent="0.2">
      <c r="D200" s="227" t="s">
        <v>491</v>
      </c>
      <c r="F200" s="7"/>
      <c r="G200" s="7"/>
      <c r="H200" s="7"/>
      <c r="I200">
        <f>'Vykazy HELIOS'!D75/1000-Výkazy!I75</f>
        <v>0</v>
      </c>
      <c r="J200">
        <f>'Vykazy HELIOS'!E75/1000-Výkazy!J75</f>
        <v>0</v>
      </c>
      <c r="K200">
        <f>'Vykazy HELIOS'!F75/1000-Výkazy!K75</f>
        <v>0</v>
      </c>
      <c r="L200">
        <f>'Vykazy HELIOS'!G75/1000-Výkazy!L75</f>
        <v>0</v>
      </c>
      <c r="M200">
        <f>'Vykazy HELIOS'!H75/1000-Výkazy!M75</f>
        <v>0</v>
      </c>
      <c r="N200">
        <f>'Vykazy HELIOS'!I75/1000-Výkazy!N75</f>
        <v>0</v>
      </c>
      <c r="O200">
        <f>'Vykazy HELIOS'!J75/1000-Výkazy!O75</f>
        <v>0</v>
      </c>
      <c r="P200">
        <f>'Vykazy HELIOS'!K75/1000-Výkazy!P75</f>
        <v>0</v>
      </c>
      <c r="Q200">
        <f>'Vykazy HELIOS'!L75/1000-Výkazy!Q75</f>
        <v>0</v>
      </c>
      <c r="R200">
        <f>'Vykazy HELIOS'!M75/1000-Výkazy!R75</f>
        <v>0</v>
      </c>
      <c r="S200">
        <f>'Vykazy HELIOS'!N75/1000-Výkazy!S75</f>
        <v>0</v>
      </c>
      <c r="T200">
        <f>'Vykazy HELIOS'!O75/1000-Výkazy!T75</f>
        <v>0</v>
      </c>
      <c r="U200">
        <f>'Vykazy HELIOS'!P75/1000-Výkazy!U75</f>
        <v>0</v>
      </c>
      <c r="V200">
        <f>'Vykazy HELIOS'!Q75/1000-Výkazy!V75</f>
        <v>0</v>
      </c>
      <c r="W200">
        <f>'Vykazy HELIOS'!R75/1000-Výkazy!W75</f>
        <v>0</v>
      </c>
      <c r="X200">
        <f>'Vykazy HELIOS'!S75/1000-Výkazy!X75</f>
        <v>0</v>
      </c>
      <c r="Y200">
        <f>'Vykazy HELIOS'!T75/1000-Výkazy!Y75</f>
        <v>0</v>
      </c>
      <c r="Z200">
        <f>'Vykazy HELIOS'!U75/1000-Výkazy!Z75</f>
        <v>0</v>
      </c>
      <c r="AC200" t="s">
        <v>962</v>
      </c>
      <c r="AD200" t="s">
        <v>482</v>
      </c>
      <c r="AE200">
        <v>131</v>
      </c>
      <c r="AF200">
        <v>0</v>
      </c>
      <c r="AG200">
        <v>0</v>
      </c>
      <c r="AH200">
        <v>0</v>
      </c>
      <c r="AI200">
        <v>0</v>
      </c>
      <c r="AJ200" t="s">
        <v>963</v>
      </c>
    </row>
    <row r="201" spans="2:36" x14ac:dyDescent="0.2">
      <c r="D201" s="227"/>
      <c r="F201" s="7"/>
      <c r="G201" s="7"/>
      <c r="H201" s="7"/>
      <c r="AC201" t="s">
        <v>964</v>
      </c>
      <c r="AD201" t="s">
        <v>472</v>
      </c>
      <c r="AE201">
        <v>132</v>
      </c>
      <c r="AF201">
        <v>13611082.699999999</v>
      </c>
      <c r="AG201">
        <v>0</v>
      </c>
      <c r="AH201">
        <v>13611082.699999999</v>
      </c>
      <c r="AI201">
        <v>19161204.66</v>
      </c>
      <c r="AJ201" t="s">
        <v>943</v>
      </c>
    </row>
    <row r="202" spans="2:36" x14ac:dyDescent="0.2">
      <c r="D202" s="227"/>
      <c r="F202" s="7"/>
      <c r="G202" s="7"/>
      <c r="H202" s="7"/>
      <c r="AC202" t="s">
        <v>965</v>
      </c>
      <c r="AD202" t="s">
        <v>966</v>
      </c>
      <c r="AE202">
        <v>133</v>
      </c>
      <c r="AF202">
        <v>0</v>
      </c>
      <c r="AG202">
        <v>0</v>
      </c>
      <c r="AH202">
        <v>0</v>
      </c>
      <c r="AI202">
        <v>0</v>
      </c>
      <c r="AJ202" t="s">
        <v>967</v>
      </c>
    </row>
    <row r="203" spans="2:36" ht="12.75" x14ac:dyDescent="0.2">
      <c r="B203" s="2" t="s">
        <v>288</v>
      </c>
      <c r="D203" s="5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C203" t="s">
        <v>968</v>
      </c>
      <c r="AD203" t="s">
        <v>946</v>
      </c>
      <c r="AE203">
        <v>134</v>
      </c>
      <c r="AF203">
        <v>0</v>
      </c>
      <c r="AG203">
        <v>0</v>
      </c>
      <c r="AH203">
        <v>0</v>
      </c>
      <c r="AI203">
        <v>0</v>
      </c>
      <c r="AJ203" t="s">
        <v>947</v>
      </c>
    </row>
    <row r="204" spans="2:36" x14ac:dyDescent="0.2">
      <c r="B204" s="15"/>
      <c r="C204" s="16"/>
      <c r="D204" s="45"/>
      <c r="E204" s="33"/>
      <c r="F204" s="33"/>
      <c r="G204" s="33"/>
      <c r="H204" s="33"/>
      <c r="I204" s="46"/>
      <c r="J204" s="149">
        <f t="shared" ref="J204:P204" si="295">J3</f>
        <v>2008</v>
      </c>
      <c r="K204" s="149">
        <f t="shared" si="295"/>
        <v>2009</v>
      </c>
      <c r="L204" s="149">
        <f t="shared" si="295"/>
        <v>2010</v>
      </c>
      <c r="M204" s="149">
        <f t="shared" si="295"/>
        <v>2011</v>
      </c>
      <c r="N204" s="149">
        <f t="shared" si="295"/>
        <v>2012</v>
      </c>
      <c r="O204" s="149">
        <f t="shared" si="295"/>
        <v>2013</v>
      </c>
      <c r="P204" s="149">
        <f t="shared" si="295"/>
        <v>2014</v>
      </c>
      <c r="Q204" s="149">
        <f t="shared" ref="Q204:R204" si="296">Q3</f>
        <v>2015</v>
      </c>
      <c r="R204" s="149">
        <f t="shared" si="296"/>
        <v>2016</v>
      </c>
      <c r="S204" s="149">
        <f t="shared" ref="S204:T204" si="297">S3</f>
        <v>2017</v>
      </c>
      <c r="T204" s="149">
        <f t="shared" si="297"/>
        <v>2018</v>
      </c>
      <c r="U204" s="149">
        <f t="shared" ref="U204:V204" si="298">U3</f>
        <v>2019</v>
      </c>
      <c r="V204" s="149">
        <f t="shared" si="298"/>
        <v>2020</v>
      </c>
      <c r="W204" s="149">
        <f t="shared" ref="W204:X204" si="299">W3</f>
        <v>2021</v>
      </c>
      <c r="X204" s="149">
        <f t="shared" si="299"/>
        <v>2022</v>
      </c>
      <c r="Y204" s="149">
        <f t="shared" ref="Y204:Z204" si="300">Y3</f>
        <v>2023</v>
      </c>
      <c r="Z204" s="149">
        <f t="shared" si="300"/>
        <v>2024</v>
      </c>
      <c r="AC204" t="s">
        <v>969</v>
      </c>
      <c r="AD204" t="s">
        <v>474</v>
      </c>
      <c r="AE204">
        <v>135</v>
      </c>
      <c r="AF204">
        <v>0</v>
      </c>
      <c r="AG204">
        <v>0</v>
      </c>
      <c r="AH204">
        <v>0</v>
      </c>
      <c r="AI204">
        <v>0</v>
      </c>
      <c r="AJ204" t="s">
        <v>949</v>
      </c>
    </row>
    <row r="205" spans="2:36" x14ac:dyDescent="0.2">
      <c r="B205" s="21" t="s">
        <v>40</v>
      </c>
      <c r="C205" s="44"/>
      <c r="D205" s="89" t="s">
        <v>107</v>
      </c>
      <c r="E205" s="90"/>
      <c r="F205" s="91"/>
      <c r="G205" s="91"/>
      <c r="H205" s="91">
        <v>1</v>
      </c>
      <c r="I205" s="92"/>
      <c r="J205" s="93">
        <f>'Vykazy HELIOS'!E201/1000</f>
        <v>2117</v>
      </c>
      <c r="K205" s="29">
        <f>'Vykazy HELIOS'!F201/1000</f>
        <v>4557</v>
      </c>
      <c r="L205" s="29">
        <f>'Vykazy HELIOS'!G201/1000</f>
        <v>3922.4315299999998</v>
      </c>
      <c r="M205" s="29">
        <f>'Vykazy HELIOS'!H201/1000</f>
        <v>4341.79475</v>
      </c>
      <c r="N205" s="29">
        <f>'Vykazy HELIOS'!I201/1000</f>
        <v>5684.2079999999996</v>
      </c>
      <c r="O205" s="29">
        <f>'Vykazy HELIOS'!J201/1000</f>
        <v>16922.77723</v>
      </c>
      <c r="P205" s="29">
        <f>'Vykazy HELIOS'!K201/1000</f>
        <v>10129.83726</v>
      </c>
      <c r="Q205" s="29">
        <f>'Vykazy HELIOS'!L201/1000</f>
        <v>13214.85281</v>
      </c>
      <c r="R205" s="29">
        <f>'Vykazy HELIOS'!M201/1000</f>
        <v>13850.607019999999</v>
      </c>
      <c r="S205" s="29">
        <f>'Vykazy HELIOS'!N201/1000</f>
        <v>15621.459429999999</v>
      </c>
      <c r="T205" s="29">
        <f>'Vykazy HELIOS'!O201/1000</f>
        <v>25056.753659999998</v>
      </c>
      <c r="U205" s="29">
        <f>'Vykazy HELIOS'!P201/1000</f>
        <v>25868.14446</v>
      </c>
      <c r="V205" s="29">
        <f>'Vykazy HELIOS'!Q201/1000</f>
        <v>35209.547469999998</v>
      </c>
      <c r="W205" s="29">
        <f>'Vykazy HELIOS'!R201/1000</f>
        <v>28108.71457</v>
      </c>
      <c r="X205" s="29">
        <f>'Vykazy HELIOS'!S201/1000</f>
        <v>29382.749110000001</v>
      </c>
      <c r="Y205" s="29">
        <f>'Vykazy HELIOS'!T201/1000</f>
        <v>26187.521699999998</v>
      </c>
      <c r="Z205" s="29">
        <f>'Vykazy HELIOS'!U201/1000</f>
        <v>33703.514560000003</v>
      </c>
      <c r="AC205" t="s">
        <v>970</v>
      </c>
      <c r="AD205" t="s">
        <v>971</v>
      </c>
      <c r="AE205">
        <v>136</v>
      </c>
      <c r="AF205">
        <v>6249957.8700000001</v>
      </c>
      <c r="AG205">
        <v>0</v>
      </c>
      <c r="AH205">
        <v>6249957.8700000001</v>
      </c>
      <c r="AI205">
        <v>8968516.6799999997</v>
      </c>
      <c r="AJ205" t="s">
        <v>960</v>
      </c>
    </row>
    <row r="206" spans="2:36" x14ac:dyDescent="0.2">
      <c r="B206" s="231" t="s">
        <v>494</v>
      </c>
      <c r="C206" s="44"/>
      <c r="D206" s="230" t="s">
        <v>495</v>
      </c>
      <c r="E206" s="90"/>
      <c r="F206" s="91"/>
      <c r="G206" s="91"/>
      <c r="H206" s="91">
        <v>2</v>
      </c>
      <c r="I206" s="92"/>
      <c r="J206" s="93"/>
      <c r="K206" s="29"/>
      <c r="L206" s="29"/>
      <c r="M206" s="29"/>
      <c r="N206" s="229"/>
      <c r="O206" s="229"/>
      <c r="P206" s="229"/>
      <c r="Q206" s="229"/>
      <c r="R206" s="229"/>
      <c r="S206" s="229"/>
      <c r="T206" s="229"/>
      <c r="U206" s="229"/>
      <c r="V206" s="229"/>
      <c r="W206" s="229"/>
      <c r="X206" s="229"/>
      <c r="Y206" s="229"/>
      <c r="Z206" s="229"/>
      <c r="AC206" t="s">
        <v>972</v>
      </c>
      <c r="AD206" t="s">
        <v>955</v>
      </c>
      <c r="AE206">
        <v>137</v>
      </c>
      <c r="AF206">
        <v>33260</v>
      </c>
      <c r="AG206">
        <v>0</v>
      </c>
      <c r="AH206">
        <v>33260</v>
      </c>
      <c r="AI206">
        <v>28084</v>
      </c>
      <c r="AJ206" t="s">
        <v>956</v>
      </c>
    </row>
    <row r="207" spans="2:36" x14ac:dyDescent="0.2">
      <c r="B207" s="20" t="s">
        <v>108</v>
      </c>
      <c r="C207" s="44"/>
      <c r="D207" s="94" t="s">
        <v>219</v>
      </c>
      <c r="E207" s="58"/>
      <c r="F207" s="10"/>
      <c r="G207" s="10"/>
      <c r="H207" s="10">
        <v>3</v>
      </c>
      <c r="I207" s="11"/>
      <c r="J207" s="95">
        <f t="shared" ref="J207:N207" si="301">J64</f>
        <v>12656</v>
      </c>
      <c r="K207" s="27">
        <f t="shared" si="301"/>
        <v>12792.519999999993</v>
      </c>
      <c r="L207" s="27">
        <f t="shared" si="301"/>
        <v>437.72077000000218</v>
      </c>
      <c r="M207" s="27">
        <f t="shared" si="301"/>
        <v>13630.588699999982</v>
      </c>
      <c r="N207" s="96">
        <f t="shared" si="301"/>
        <v>4291.0395799999515</v>
      </c>
      <c r="O207" s="96">
        <f t="shared" ref="O207" si="302">O64</f>
        <v>21870.748049999944</v>
      </c>
      <c r="P207" s="96">
        <f t="shared" ref="P207:Q207" si="303">P64</f>
        <v>24952.726130000039</v>
      </c>
      <c r="Q207" s="96">
        <f t="shared" si="303"/>
        <v>33930.464969999943</v>
      </c>
      <c r="R207" s="96">
        <f t="shared" ref="R207:S207" si="304">R64</f>
        <v>13948.207349999942</v>
      </c>
      <c r="S207" s="96">
        <f t="shared" si="304"/>
        <v>6426.884079999988</v>
      </c>
      <c r="T207" s="96">
        <f t="shared" ref="T207:U207" si="305">T64</f>
        <v>17725.823049999974</v>
      </c>
      <c r="U207" s="96">
        <f t="shared" si="305"/>
        <v>21062.87077000007</v>
      </c>
      <c r="V207" s="96">
        <f t="shared" ref="V207:W207" si="306">V64</f>
        <v>1039.8309599999702</v>
      </c>
      <c r="W207" s="96">
        <f t="shared" si="306"/>
        <v>130.59229000000619</v>
      </c>
      <c r="X207" s="96">
        <f t="shared" ref="X207:Y207" si="307">X64</f>
        <v>300.68518999998685</v>
      </c>
      <c r="Y207" s="96">
        <f t="shared" si="307"/>
        <v>5719.8669800000016</v>
      </c>
      <c r="Z207" s="96">
        <f t="shared" ref="Z207" si="308">Z64</f>
        <v>16917.126489999981</v>
      </c>
      <c r="AC207" t="s">
        <v>973</v>
      </c>
      <c r="AD207" t="s">
        <v>104</v>
      </c>
      <c r="AE207">
        <v>138</v>
      </c>
      <c r="AF207">
        <v>0</v>
      </c>
      <c r="AG207">
        <v>0</v>
      </c>
      <c r="AH207">
        <v>0</v>
      </c>
      <c r="AI207">
        <v>0</v>
      </c>
      <c r="AJ207" t="s">
        <v>974</v>
      </c>
    </row>
    <row r="208" spans="2:36" x14ac:dyDescent="0.2">
      <c r="B208" s="20" t="s">
        <v>109</v>
      </c>
      <c r="C208" s="44"/>
      <c r="D208" s="94" t="s">
        <v>110</v>
      </c>
      <c r="E208" s="58"/>
      <c r="F208" s="10"/>
      <c r="G208" s="10"/>
      <c r="H208" s="10">
        <v>4</v>
      </c>
      <c r="I208" s="11"/>
      <c r="J208" s="95">
        <f t="shared" ref="J208" si="309">SUM(J209:J213)</f>
        <v>3900</v>
      </c>
      <c r="K208" s="27">
        <f t="shared" ref="K208" si="310">SUM(K209:K213)</f>
        <v>-4441.1374800000012</v>
      </c>
      <c r="L208" s="27">
        <f t="shared" ref="L208" si="311">SUM(L209:L213)</f>
        <v>2594.2821900000004</v>
      </c>
      <c r="M208" s="27">
        <f t="shared" ref="M208" si="312">SUM(M209:M213)</f>
        <v>12708.96128</v>
      </c>
      <c r="N208" s="96">
        <f t="shared" ref="N208" si="313">SUM(N209:N213)</f>
        <v>25889.864749999997</v>
      </c>
      <c r="O208" s="96">
        <f t="shared" ref="O208" si="314">SUM(O209:O213)</f>
        <v>41588.314629999993</v>
      </c>
      <c r="P208" s="96">
        <f t="shared" ref="P208:Q208" si="315">SUM(P209:P213)</f>
        <v>50612.676270000004</v>
      </c>
      <c r="Q208" s="96">
        <f t="shared" si="315"/>
        <v>69454.380879999997</v>
      </c>
      <c r="R208" s="96">
        <f t="shared" ref="R208:S208" si="316">SUM(R209:R213)</f>
        <v>94755.866900000008</v>
      </c>
      <c r="S208" s="96">
        <f t="shared" si="316"/>
        <v>94589.620320000002</v>
      </c>
      <c r="T208" s="96">
        <f t="shared" ref="T208:U208" si="317">SUM(T209:T213)</f>
        <v>80344.736109999998</v>
      </c>
      <c r="U208" s="96">
        <f t="shared" si="317"/>
        <v>70159.943679999997</v>
      </c>
      <c r="V208" s="96">
        <f t="shared" ref="V208:W208" si="318">SUM(V209:V213)</f>
        <v>50504.538420000004</v>
      </c>
      <c r="W208" s="96">
        <f t="shared" si="318"/>
        <v>48599.767570000004</v>
      </c>
      <c r="X208" s="96">
        <f t="shared" ref="X208:Y208" si="319">SUM(X209:X213)</f>
        <v>42237.091609999996</v>
      </c>
      <c r="Y208" s="96">
        <f t="shared" si="319"/>
        <v>54959.370510000001</v>
      </c>
      <c r="Z208" s="96">
        <f t="shared" ref="Z208" si="320">SUM(Z209:Z213)</f>
        <v>12928.622580000001</v>
      </c>
      <c r="AC208" t="s">
        <v>975</v>
      </c>
      <c r="AD208" t="s">
        <v>97</v>
      </c>
      <c r="AE208">
        <v>139</v>
      </c>
      <c r="AF208">
        <v>3581625.67</v>
      </c>
      <c r="AG208">
        <v>0</v>
      </c>
      <c r="AH208">
        <v>3581625.67</v>
      </c>
      <c r="AI208">
        <v>7329977.25</v>
      </c>
      <c r="AJ208" t="s">
        <v>976</v>
      </c>
    </row>
    <row r="209" spans="2:36" x14ac:dyDescent="0.2">
      <c r="B209" s="15" t="s">
        <v>109</v>
      </c>
      <c r="C209" s="139">
        <v>1</v>
      </c>
      <c r="D209" s="140" t="s">
        <v>220</v>
      </c>
      <c r="E209" s="121"/>
      <c r="F209" s="33"/>
      <c r="G209" s="33"/>
      <c r="H209" s="33">
        <v>5</v>
      </c>
      <c r="I209" s="34"/>
      <c r="J209" s="232">
        <f>'Vykazy HELIOS'!E205/1000</f>
        <v>2900</v>
      </c>
      <c r="K209" s="233">
        <f>'Vykazy HELIOS'!F205/1000</f>
        <v>5034.6160999999993</v>
      </c>
      <c r="L209" s="233">
        <f>'Vykazy HELIOS'!G205/1000</f>
        <v>7153.31</v>
      </c>
      <c r="M209" s="233">
        <f>'Vykazy HELIOS'!H205/1000</f>
        <v>12397.793369999999</v>
      </c>
      <c r="N209" s="234">
        <f>'Vykazy HELIOS'!I205/1000</f>
        <v>25394.138989999999</v>
      </c>
      <c r="O209" s="234">
        <f>'Vykazy HELIOS'!J205/1000</f>
        <v>41005.268899999995</v>
      </c>
      <c r="P209" s="234">
        <f>'Vykazy HELIOS'!K205/1000</f>
        <v>50146.137040000001</v>
      </c>
      <c r="Q209" s="234">
        <f>'Vykazy HELIOS'!L205/1000</f>
        <v>68714.369139999995</v>
      </c>
      <c r="R209" s="234">
        <f>'Vykazy HELIOS'!M205/1000</f>
        <v>93516.886040000012</v>
      </c>
      <c r="S209" s="234">
        <f>'Vykazy HELIOS'!N205/1000</f>
        <v>92536.421629999997</v>
      </c>
      <c r="T209" s="234">
        <f>'Vykazy HELIOS'!O205/1000</f>
        <v>79816.923719999992</v>
      </c>
      <c r="U209" s="234">
        <f>'Vykazy HELIOS'!P205/1000</f>
        <v>69835.034419999996</v>
      </c>
      <c r="V209" s="234">
        <f>'Vykazy HELIOS'!Q205/1000</f>
        <v>47780.208490000005</v>
      </c>
      <c r="W209" s="234">
        <f>'Vykazy HELIOS'!R205/1000</f>
        <v>48190.40165</v>
      </c>
      <c r="X209" s="234">
        <f>'Vykazy HELIOS'!S205/1000</f>
        <v>39551.35873</v>
      </c>
      <c r="Y209" s="234">
        <f>'Vykazy HELIOS'!T205/1000</f>
        <v>53452.656280000003</v>
      </c>
      <c r="Z209" s="234">
        <f>'Vykazy HELIOS'!U205/1000</f>
        <v>12139.725050000001</v>
      </c>
      <c r="AC209" t="s">
        <v>977</v>
      </c>
      <c r="AD209" t="s">
        <v>481</v>
      </c>
      <c r="AE209">
        <v>140</v>
      </c>
      <c r="AF209">
        <v>1537738.84</v>
      </c>
      <c r="AG209">
        <v>0</v>
      </c>
      <c r="AH209">
        <v>1537738.84</v>
      </c>
      <c r="AI209">
        <v>1580455.43</v>
      </c>
      <c r="AJ209" t="s">
        <v>978</v>
      </c>
    </row>
    <row r="210" spans="2:36" x14ac:dyDescent="0.2">
      <c r="B210" s="109" t="s">
        <v>109</v>
      </c>
      <c r="C210" s="143">
        <f>C209+1</f>
        <v>2</v>
      </c>
      <c r="D210" s="144" t="s">
        <v>221</v>
      </c>
      <c r="E210" s="127"/>
      <c r="F210" s="1"/>
      <c r="G210" s="1"/>
      <c r="H210">
        <v>6</v>
      </c>
      <c r="I210" s="112"/>
      <c r="J210" s="235">
        <f>'Vykazy HELIOS'!E206/1000</f>
        <v>450</v>
      </c>
      <c r="K210" s="236">
        <f>'Vykazy HELIOS'!F206/1000</f>
        <v>-9557.4236000000001</v>
      </c>
      <c r="L210" s="236">
        <f>'Vykazy HELIOS'!G206/1000</f>
        <v>-4602.5763999999999</v>
      </c>
      <c r="M210" s="236">
        <f>'Vykazy HELIOS'!H206/1000</f>
        <v>0</v>
      </c>
      <c r="N210" s="237">
        <f>'Vykazy HELIOS'!I206/1000</f>
        <v>0</v>
      </c>
      <c r="O210" s="237">
        <f>'Vykazy HELIOS'!J206/1000</f>
        <v>0</v>
      </c>
      <c r="P210" s="237">
        <f>'Vykazy HELIOS'!K206/1000</f>
        <v>0</v>
      </c>
      <c r="Q210" s="237">
        <f>'Vykazy HELIOS'!L206/1000</f>
        <v>0</v>
      </c>
      <c r="R210" s="237">
        <f>'Vykazy HELIOS'!M206/1000</f>
        <v>0</v>
      </c>
      <c r="S210" s="237">
        <f>'Vykazy HELIOS'!N206/1000</f>
        <v>37.074629999999999</v>
      </c>
      <c r="T210" s="237">
        <f>'Vykazy HELIOS'!O206/1000</f>
        <v>73.146450000000016</v>
      </c>
      <c r="U210" s="237">
        <f>'Vykazy HELIOS'!P206/1000</f>
        <v>-41.9223</v>
      </c>
      <c r="V210" s="237">
        <f>'Vykazy HELIOS'!Q206/1000</f>
        <v>-40.925509999999996</v>
      </c>
      <c r="W210" s="237">
        <f>'Vykazy HELIOS'!R206/1000</f>
        <v>101.41867999999999</v>
      </c>
      <c r="X210" s="237">
        <f>'Vykazy HELIOS'!S206/1000</f>
        <v>6.8230900000000112</v>
      </c>
      <c r="Y210" s="237">
        <f>'Vykazy HELIOS'!T206/1000</f>
        <v>-128.51895999999999</v>
      </c>
      <c r="Z210" s="237">
        <f>'Vykazy HELIOS'!U206/1000</f>
        <v>0</v>
      </c>
      <c r="AC210" t="s">
        <v>979</v>
      </c>
      <c r="AD210" t="s">
        <v>99</v>
      </c>
      <c r="AE210">
        <v>141</v>
      </c>
      <c r="AF210">
        <v>1097546.1000000001</v>
      </c>
      <c r="AG210">
        <v>0</v>
      </c>
      <c r="AH210">
        <v>1097546.1000000001</v>
      </c>
      <c r="AI210">
        <v>0</v>
      </c>
      <c r="AJ210" t="s">
        <v>980</v>
      </c>
    </row>
    <row r="211" spans="2:36" x14ac:dyDescent="0.2">
      <c r="B211" s="109" t="s">
        <v>109</v>
      </c>
      <c r="C211" s="143">
        <f>C210+1</f>
        <v>3</v>
      </c>
      <c r="D211" s="144" t="s">
        <v>222</v>
      </c>
      <c r="E211" s="127"/>
      <c r="F211" s="1"/>
      <c r="G211" s="1"/>
      <c r="H211" s="1"/>
      <c r="I211" s="112"/>
      <c r="J211" s="235"/>
      <c r="K211" s="236"/>
      <c r="L211" s="236"/>
      <c r="M211" s="236"/>
      <c r="N211" s="237"/>
      <c r="O211" s="237"/>
      <c r="P211" s="237"/>
      <c r="Q211" s="237"/>
      <c r="R211" s="237"/>
      <c r="S211" s="237"/>
      <c r="T211" s="237"/>
      <c r="U211" s="237"/>
      <c r="V211" s="237"/>
      <c r="W211" s="237"/>
      <c r="X211" s="237"/>
      <c r="Y211" s="237"/>
      <c r="Z211" s="237"/>
      <c r="AC211" t="s">
        <v>981</v>
      </c>
      <c r="AD211" t="s">
        <v>479</v>
      </c>
      <c r="AE211">
        <v>142</v>
      </c>
      <c r="AF211">
        <v>0</v>
      </c>
      <c r="AG211">
        <v>0</v>
      </c>
      <c r="AH211">
        <v>0</v>
      </c>
      <c r="AI211">
        <v>30000</v>
      </c>
      <c r="AJ211" t="s">
        <v>958</v>
      </c>
    </row>
    <row r="212" spans="2:36" x14ac:dyDescent="0.2">
      <c r="B212" s="109" t="s">
        <v>109</v>
      </c>
      <c r="C212" s="143">
        <f>C211+1</f>
        <v>4</v>
      </c>
      <c r="D212" s="144" t="s">
        <v>223</v>
      </c>
      <c r="E212" s="127"/>
      <c r="F212" s="1"/>
      <c r="G212" s="1"/>
      <c r="H212">
        <v>7</v>
      </c>
      <c r="I212" s="112"/>
      <c r="J212" s="235">
        <f>'Vykazy HELIOS'!E207/1000</f>
        <v>553</v>
      </c>
      <c r="K212" s="236">
        <f>'Vykazy HELIOS'!F207/1000</f>
        <v>0</v>
      </c>
      <c r="L212" s="236">
        <f>'Vykazy HELIOS'!G207/1000</f>
        <v>0</v>
      </c>
      <c r="M212" s="236">
        <f>'Vykazy HELIOS'!H207/1000</f>
        <v>200.7919</v>
      </c>
      <c r="N212" s="237">
        <f>'Vykazy HELIOS'!I207/1000</f>
        <v>6.3520000000000003</v>
      </c>
      <c r="O212" s="237">
        <f>'Vykazy HELIOS'!J207/1000</f>
        <v>0</v>
      </c>
      <c r="P212" s="237">
        <f>'Vykazy HELIOS'!K207/1000</f>
        <v>0</v>
      </c>
      <c r="Q212" s="237">
        <f>'Vykazy HELIOS'!L207/1000</f>
        <v>0</v>
      </c>
      <c r="R212" s="237">
        <f>'Vykazy HELIOS'!M207/1000</f>
        <v>402.5</v>
      </c>
      <c r="S212" s="237">
        <f>'Vykazy HELIOS'!N207/1000</f>
        <v>1350</v>
      </c>
      <c r="T212" s="237">
        <f>'Vykazy HELIOS'!O207/1000</f>
        <v>0</v>
      </c>
      <c r="U212" s="237">
        <f>'Vykazy HELIOS'!P207/1000</f>
        <v>0</v>
      </c>
      <c r="V212" s="237">
        <f>'Vykazy HELIOS'!Q207/1000</f>
        <v>2574.3292000000001</v>
      </c>
      <c r="W212" s="237">
        <f>'Vykazy HELIOS'!R207/1000</f>
        <v>0</v>
      </c>
      <c r="X212" s="237">
        <f>'Vykazy HELIOS'!S207/1000</f>
        <v>1302.28</v>
      </c>
      <c r="Y212" s="237">
        <f>'Vykazy HELIOS'!T207/1000</f>
        <v>680.89</v>
      </c>
      <c r="Z212" s="237">
        <f>'Vykazy HELIOS'!U207/1000</f>
        <v>151.92289000000002</v>
      </c>
      <c r="AC212" t="s">
        <v>982</v>
      </c>
      <c r="AD212" t="s">
        <v>100</v>
      </c>
      <c r="AE212">
        <v>143</v>
      </c>
      <c r="AF212">
        <v>-212.74</v>
      </c>
      <c r="AG212">
        <v>0</v>
      </c>
      <c r="AH212">
        <v>-212.74</v>
      </c>
      <c r="AI212">
        <v>0</v>
      </c>
      <c r="AJ212" t="s">
        <v>960</v>
      </c>
    </row>
    <row r="213" spans="2:36" x14ac:dyDescent="0.2">
      <c r="B213" s="108" t="s">
        <v>109</v>
      </c>
      <c r="C213" s="141">
        <f>C212+1</f>
        <v>5</v>
      </c>
      <c r="D213" s="142" t="s">
        <v>111</v>
      </c>
      <c r="E213" s="48"/>
      <c r="F213" s="40"/>
      <c r="G213" s="40"/>
      <c r="H213" s="40">
        <v>9</v>
      </c>
      <c r="I213" s="41"/>
      <c r="J213" s="238">
        <f>'Vykazy HELIOS'!E209/1000</f>
        <v>-3</v>
      </c>
      <c r="K213" s="239">
        <f>'Vykazy HELIOS'!F209/1000</f>
        <v>81.670020000000008</v>
      </c>
      <c r="L213" s="239">
        <f>'Vykazy HELIOS'!G209/1000</f>
        <v>43.548589999999997</v>
      </c>
      <c r="M213" s="239">
        <f>'Vykazy HELIOS'!H209/1000</f>
        <v>110.37601000000001</v>
      </c>
      <c r="N213" s="240">
        <f>'Vykazy HELIOS'!I209/1000</f>
        <v>489.37375999999995</v>
      </c>
      <c r="O213" s="240">
        <f>'Vykazy HELIOS'!J209/1000</f>
        <v>583.04572999999993</v>
      </c>
      <c r="P213" s="240">
        <f>'Vykazy HELIOS'!K209/1000</f>
        <v>466.53923000000003</v>
      </c>
      <c r="Q213" s="240">
        <f>'Vykazy HELIOS'!L209/1000</f>
        <v>740.01174000000003</v>
      </c>
      <c r="R213" s="240">
        <f>'Vykazy HELIOS'!M209/1000</f>
        <v>836.48086000000001</v>
      </c>
      <c r="S213" s="240">
        <f>'Vykazy HELIOS'!N209/1000</f>
        <v>666.1240600000001</v>
      </c>
      <c r="T213" s="240">
        <f>'Vykazy HELIOS'!O209/1000</f>
        <v>454.66593999999998</v>
      </c>
      <c r="U213" s="240">
        <f>'Vykazy HELIOS'!P209/1000</f>
        <v>366.83156000000002</v>
      </c>
      <c r="V213" s="240">
        <f>'Vykazy HELIOS'!Q209/1000</f>
        <v>190.92623999999998</v>
      </c>
      <c r="W213" s="240">
        <f>'Vykazy HELIOS'!R209/1000</f>
        <v>307.94723999999997</v>
      </c>
      <c r="X213" s="240">
        <f>'Vykazy HELIOS'!S209/1000</f>
        <v>1376.62979</v>
      </c>
      <c r="Y213" s="240">
        <f>'Vykazy HELIOS'!T209/1000</f>
        <v>954.34318999999994</v>
      </c>
      <c r="Z213" s="240">
        <f>'Vykazy HELIOS'!U209/1000</f>
        <v>636.97464000000002</v>
      </c>
      <c r="AC213" t="s">
        <v>16</v>
      </c>
      <c r="AD213" t="s">
        <v>983</v>
      </c>
      <c r="AE213">
        <v>147</v>
      </c>
      <c r="AF213">
        <v>881619.68</v>
      </c>
      <c r="AG213">
        <v>0</v>
      </c>
      <c r="AH213">
        <v>881619.68</v>
      </c>
      <c r="AI213">
        <v>1319196.95</v>
      </c>
      <c r="AJ213" t="s">
        <v>984</v>
      </c>
    </row>
    <row r="214" spans="2:36" x14ac:dyDescent="0.2">
      <c r="B214" s="20" t="s">
        <v>112</v>
      </c>
      <c r="C214" s="44"/>
      <c r="D214" s="94" t="s">
        <v>113</v>
      </c>
      <c r="E214" s="58"/>
      <c r="F214" s="10"/>
      <c r="G214" s="10"/>
      <c r="H214" s="10">
        <v>12</v>
      </c>
      <c r="I214" s="11"/>
      <c r="J214" s="98">
        <f t="shared" ref="J214" si="321">SUM(J215:J217)</f>
        <v>-6360</v>
      </c>
      <c r="K214" s="26">
        <f t="shared" ref="K214" si="322">SUM(K215:K217)</f>
        <v>-3607.4067499999978</v>
      </c>
      <c r="L214" s="26">
        <f t="shared" ref="L214" si="323">SUM(L215:L217)</f>
        <v>3555.7037399999963</v>
      </c>
      <c r="M214" s="26">
        <f t="shared" ref="M214" si="324">SUM(M215:M217)</f>
        <v>2972.3825100000004</v>
      </c>
      <c r="N214" s="59">
        <f t="shared" ref="N214" si="325">SUM(N215:N217)</f>
        <v>12985.940930000002</v>
      </c>
      <c r="O214" s="59">
        <f t="shared" ref="O214" si="326">SUM(O215:O217)</f>
        <v>4698.2331200000035</v>
      </c>
      <c r="P214" s="59">
        <f t="shared" ref="P214:Q214" si="327">SUM(P215:P217)</f>
        <v>13474.107999999987</v>
      </c>
      <c r="Q214" s="59">
        <f t="shared" si="327"/>
        <v>-17715.734699999983</v>
      </c>
      <c r="R214" s="59">
        <f t="shared" ref="R214:S214" si="328">SUM(R215:R217)</f>
        <v>-1936.1809600000042</v>
      </c>
      <c r="S214" s="59">
        <f t="shared" si="328"/>
        <v>43618.386630000001</v>
      </c>
      <c r="T214" s="59">
        <f t="shared" ref="T214:U214" si="329">SUM(T215:T217)</f>
        <v>-59896.624840000004</v>
      </c>
      <c r="U214" s="59">
        <f t="shared" si="329"/>
        <v>-7415.0427000000091</v>
      </c>
      <c r="V214" s="59">
        <f t="shared" ref="V214:W214" si="330">SUM(V215:V217)</f>
        <v>-19534.832959999996</v>
      </c>
      <c r="W214" s="59">
        <f t="shared" si="330"/>
        <v>139247.37397999997</v>
      </c>
      <c r="X214" s="59">
        <f t="shared" ref="X214:Y214" si="331">SUM(X215:X217)</f>
        <v>-34334.799919999998</v>
      </c>
      <c r="Y214" s="59">
        <f t="shared" si="331"/>
        <v>-36953.276189999997</v>
      </c>
      <c r="Z214" s="59">
        <f t="shared" ref="Z214" si="332">SUM(Z215:Z217)</f>
        <v>-12155.072660000005</v>
      </c>
      <c r="AC214" t="s">
        <v>611</v>
      </c>
      <c r="AD214" t="s">
        <v>487</v>
      </c>
      <c r="AE214">
        <v>148</v>
      </c>
      <c r="AF214">
        <v>881619.68</v>
      </c>
      <c r="AG214">
        <v>0</v>
      </c>
      <c r="AH214">
        <v>881619.68</v>
      </c>
      <c r="AI214">
        <v>1025780.75</v>
      </c>
      <c r="AJ214" t="s">
        <v>985</v>
      </c>
    </row>
    <row r="215" spans="2:36" x14ac:dyDescent="0.2">
      <c r="B215" s="15" t="s">
        <v>112</v>
      </c>
      <c r="C215" s="139">
        <v>1</v>
      </c>
      <c r="D215" s="140" t="s">
        <v>224</v>
      </c>
      <c r="E215" s="121"/>
      <c r="F215" s="33"/>
      <c r="G215" s="33"/>
      <c r="H215" s="33">
        <v>13</v>
      </c>
      <c r="I215" s="34"/>
      <c r="J215" s="232">
        <f>'Vykazy HELIOS'!E213/1000</f>
        <v>-20149</v>
      </c>
      <c r="K215" s="233">
        <f>'Vykazy HELIOS'!F213/1000</f>
        <v>-10616.702229999997</v>
      </c>
      <c r="L215" s="233">
        <f>'Vykazy HELIOS'!G213/1000</f>
        <v>-3134.2686000000035</v>
      </c>
      <c r="M215" s="233">
        <f>'Vykazy HELIOS'!H213/1000</f>
        <v>-332.84148999999741</v>
      </c>
      <c r="N215" s="234">
        <f>'Vykazy HELIOS'!I213/1000</f>
        <v>9136.409279999998</v>
      </c>
      <c r="O215" s="234">
        <f>'Vykazy HELIOS'!J213/1000</f>
        <v>-18029.020219999995</v>
      </c>
      <c r="P215" s="234">
        <f>'Vykazy HELIOS'!K213/1000</f>
        <v>11155.419079999991</v>
      </c>
      <c r="Q215" s="234">
        <f>'Vykazy HELIOS'!L213/1000</f>
        <v>-15370.794009999991</v>
      </c>
      <c r="R215" s="234">
        <f>'Vykazy HELIOS'!M213/1000</f>
        <v>11717.475999999995</v>
      </c>
      <c r="S215" s="234">
        <f>'Vykazy HELIOS'!N213/1000</f>
        <v>-16460.238260000002</v>
      </c>
      <c r="T215" s="234">
        <f>'Vykazy HELIOS'!O213/1000</f>
        <v>-11235.281859999992</v>
      </c>
      <c r="U215" s="234">
        <f>'Vykazy HELIOS'!P213/1000</f>
        <v>32862.39424999999</v>
      </c>
      <c r="V215" s="234">
        <f>'Vykazy HELIOS'!Q213/1000</f>
        <v>-2739.8144299999967</v>
      </c>
      <c r="W215" s="234">
        <f>'Vykazy HELIOS'!R213/1000</f>
        <v>3676.1907999999958</v>
      </c>
      <c r="X215" s="234">
        <f>'Vykazy HELIOS'!S213/1000</f>
        <v>-17896.369640000004</v>
      </c>
      <c r="Y215" s="234">
        <f>'Vykazy HELIOS'!T213/1000</f>
        <v>9087.9202900000073</v>
      </c>
      <c r="Z215" s="234">
        <f>'Vykazy HELIOS'!U213/1000</f>
        <v>16171.331479999997</v>
      </c>
      <c r="AC215" t="s">
        <v>613</v>
      </c>
      <c r="AD215" t="s">
        <v>488</v>
      </c>
      <c r="AE215">
        <v>149</v>
      </c>
      <c r="AF215">
        <v>0</v>
      </c>
      <c r="AG215">
        <v>0</v>
      </c>
      <c r="AH215">
        <v>0</v>
      </c>
      <c r="AI215">
        <v>293416.2</v>
      </c>
      <c r="AJ215" t="s">
        <v>986</v>
      </c>
    </row>
    <row r="216" spans="2:36" x14ac:dyDescent="0.2">
      <c r="B216" s="109" t="s">
        <v>112</v>
      </c>
      <c r="C216" s="143">
        <f>C215+1</f>
        <v>2</v>
      </c>
      <c r="D216" s="144" t="s">
        <v>225</v>
      </c>
      <c r="E216" s="127"/>
      <c r="F216" s="1"/>
      <c r="G216" s="1"/>
      <c r="H216">
        <v>14</v>
      </c>
      <c r="I216" s="112"/>
      <c r="J216" s="235">
        <f>'Vykazy HELIOS'!E214/1000</f>
        <v>13837</v>
      </c>
      <c r="K216" s="236">
        <f>'Vykazy HELIOS'!F214/1000</f>
        <v>7121.4374599999992</v>
      </c>
      <c r="L216" s="236">
        <f>'Vykazy HELIOS'!G214/1000</f>
        <v>6774.1563399999995</v>
      </c>
      <c r="M216" s="236">
        <f>'Vykazy HELIOS'!H214/1000</f>
        <v>3380.671649999998</v>
      </c>
      <c r="N216" s="237">
        <f>'Vykazy HELIOS'!I214/1000</f>
        <v>3955.508320000004</v>
      </c>
      <c r="O216" s="237">
        <f>'Vykazy HELIOS'!J214/1000</f>
        <v>22867.990279999998</v>
      </c>
      <c r="P216" s="237">
        <f>'Vykazy HELIOS'!K214/1000</f>
        <v>2447.2746199999965</v>
      </c>
      <c r="Q216" s="237">
        <f>'Vykazy HELIOS'!L214/1000</f>
        <v>-1800.4589199999941</v>
      </c>
      <c r="R216" s="237">
        <f>'Vykazy HELIOS'!M214/1000</f>
        <v>-12571.13841</v>
      </c>
      <c r="S216" s="237">
        <f>'Vykazy HELIOS'!N214/1000</f>
        <v>59947.289510000002</v>
      </c>
      <c r="T216" s="237">
        <f>'Vykazy HELIOS'!O214/1000</f>
        <v>-48392.903030000009</v>
      </c>
      <c r="U216" s="237">
        <f>'Vykazy HELIOS'!P214/1000</f>
        <v>-40213.604429999999</v>
      </c>
      <c r="V216" s="237">
        <f>'Vykazy HELIOS'!Q214/1000</f>
        <v>-17083.31421</v>
      </c>
      <c r="W216" s="237">
        <f>'Vykazy HELIOS'!R214/1000</f>
        <v>135825.09850999998</v>
      </c>
      <c r="X216" s="237">
        <f>'Vykazy HELIOS'!S214/1000</f>
        <v>-16402.032469999995</v>
      </c>
      <c r="Y216" s="237">
        <f>'Vykazy HELIOS'!T214/1000</f>
        <v>-46322.122350000005</v>
      </c>
      <c r="Z216" s="237">
        <f>'Vykazy HELIOS'!U214/1000</f>
        <v>-29786.348880000001</v>
      </c>
    </row>
    <row r="217" spans="2:36" x14ac:dyDescent="0.2">
      <c r="B217" s="108" t="s">
        <v>112</v>
      </c>
      <c r="C217" s="141">
        <f>C216+1</f>
        <v>3</v>
      </c>
      <c r="D217" s="142" t="s">
        <v>226</v>
      </c>
      <c r="E217" s="48"/>
      <c r="F217" s="40"/>
      <c r="G217" s="40"/>
      <c r="H217" s="40">
        <v>15</v>
      </c>
      <c r="I217" s="41"/>
      <c r="J217" s="238">
        <f>'Vykazy HELIOS'!E215/1000</f>
        <v>-48</v>
      </c>
      <c r="K217" s="239">
        <f>'Vykazy HELIOS'!F215/1000</f>
        <v>-112.14198</v>
      </c>
      <c r="L217" s="239">
        <f>'Vykazy HELIOS'!G215/1000</f>
        <v>-84.183999999999969</v>
      </c>
      <c r="M217" s="239">
        <f>'Vykazy HELIOS'!H215/1000</f>
        <v>-75.447650000000024</v>
      </c>
      <c r="N217" s="240">
        <f>'Vykazy HELIOS'!I215/1000</f>
        <v>-105.97666999999998</v>
      </c>
      <c r="O217" s="240">
        <f>'Vykazy HELIOS'!J215/1000</f>
        <v>-140.73694</v>
      </c>
      <c r="P217" s="240">
        <f>'Vykazy HELIOS'!K215/1000</f>
        <v>-128.58569999999995</v>
      </c>
      <c r="Q217" s="240">
        <f>'Vykazy HELIOS'!L215/1000</f>
        <v>-544.48176999999998</v>
      </c>
      <c r="R217" s="240">
        <f>'Vykazy HELIOS'!M215/1000</f>
        <v>-1082.5185499999998</v>
      </c>
      <c r="S217" s="240">
        <f>'Vykazy HELIOS'!N215/1000</f>
        <v>131.3353799999999</v>
      </c>
      <c r="T217" s="240">
        <f>'Vykazy HELIOS'!O215/1000</f>
        <v>-268.43995000000018</v>
      </c>
      <c r="U217" s="240">
        <f>'Vykazy HELIOS'!P215/1000</f>
        <v>-63.832520000000017</v>
      </c>
      <c r="V217" s="240">
        <f>'Vykazy HELIOS'!Q215/1000</f>
        <v>288.29568000000017</v>
      </c>
      <c r="W217" s="240">
        <f>'Vykazy HELIOS'!R215/1000</f>
        <v>-253.91533000000007</v>
      </c>
      <c r="X217" s="240">
        <f>'Vykazy HELIOS'!S215/1000</f>
        <v>-36.397810000000057</v>
      </c>
      <c r="Y217" s="240">
        <f>'Vykazy HELIOS'!T215/1000</f>
        <v>280.92587000000009</v>
      </c>
      <c r="Z217" s="240">
        <f>'Vykazy HELIOS'!U215/1000</f>
        <v>1459.9447399999999</v>
      </c>
    </row>
    <row r="218" spans="2:36" x14ac:dyDescent="0.2">
      <c r="B218" s="20" t="s">
        <v>114</v>
      </c>
      <c r="C218" s="44"/>
      <c r="D218" s="94" t="s">
        <v>115</v>
      </c>
      <c r="E218" s="58"/>
      <c r="F218" s="10"/>
      <c r="G218" s="10"/>
      <c r="H218" s="10">
        <v>18</v>
      </c>
      <c r="I218" s="11"/>
      <c r="J218" s="241">
        <f>'Vykazy HELIOS'!E218/1000</f>
        <v>-1</v>
      </c>
      <c r="K218" s="242">
        <f>'Vykazy HELIOS'!F218/1000</f>
        <v>-89.913749999999993</v>
      </c>
      <c r="L218" s="242">
        <f>'Vykazy HELIOS'!G218/1000</f>
        <v>-46.155889999999999</v>
      </c>
      <c r="M218" s="242">
        <f>'Vykazy HELIOS'!H218/1000</f>
        <v>-114.1203</v>
      </c>
      <c r="N218" s="243">
        <f>'Vykazy HELIOS'!I218/1000</f>
        <v>-493.24559999999997</v>
      </c>
      <c r="O218" s="243">
        <f>'Vykazy HELIOS'!J218/1000</f>
        <v>-583.93550000000005</v>
      </c>
      <c r="P218" s="243">
        <f>'Vykazy HELIOS'!K218/1000</f>
        <v>-467.09258</v>
      </c>
      <c r="Q218" s="243">
        <f>'Vykazy HELIOS'!L218/1000</f>
        <v>-747.83212000000003</v>
      </c>
      <c r="R218" s="243">
        <f>'Vykazy HELIOS'!M218/1000</f>
        <v>-836.73427000000004</v>
      </c>
      <c r="S218" s="243">
        <f>'Vykazy HELIOS'!N218/1000</f>
        <v>-666.20606000000009</v>
      </c>
      <c r="T218" s="243">
        <f>'Vykazy HELIOS'!O218/1000</f>
        <v>-454.99194</v>
      </c>
      <c r="U218" s="243">
        <f>'Vykazy HELIOS'!P218/1000</f>
        <v>-368.33456000000001</v>
      </c>
      <c r="V218" s="243">
        <f>'Vykazy HELIOS'!Q218/1000</f>
        <v>-191.47023999999999</v>
      </c>
      <c r="W218" s="243">
        <f>'Vykazy HELIOS'!R218/1000</f>
        <v>-308.57524000000001</v>
      </c>
      <c r="X218" s="243">
        <f>'Vykazy HELIOS'!S218/1000</f>
        <v>-1379.4297900000001</v>
      </c>
      <c r="Y218" s="243">
        <f>'Vykazy HELIOS'!T218/1000</f>
        <v>-957.62318999999991</v>
      </c>
      <c r="Z218" s="243">
        <f>'Vykazy HELIOS'!U218/1000</f>
        <v>-636.97464000000002</v>
      </c>
    </row>
    <row r="219" spans="2:36" x14ac:dyDescent="0.2">
      <c r="B219" s="20" t="s">
        <v>116</v>
      </c>
      <c r="C219" s="44"/>
      <c r="D219" s="94" t="s">
        <v>117</v>
      </c>
      <c r="E219" s="58"/>
      <c r="F219" s="10"/>
      <c r="G219" s="10"/>
      <c r="H219" s="10">
        <v>19</v>
      </c>
      <c r="I219" s="11"/>
      <c r="J219" s="241">
        <f>'Vykazy HELIOS'!E219/1000</f>
        <v>4</v>
      </c>
      <c r="K219" s="242">
        <f>'Vykazy HELIOS'!F219/1000</f>
        <v>8.2437299999999993</v>
      </c>
      <c r="L219" s="242">
        <f>'Vykazy HELIOS'!G219/1000</f>
        <v>2.6073000000000004</v>
      </c>
      <c r="M219" s="242">
        <f>'Vykazy HELIOS'!H219/1000</f>
        <v>3.7442899999999999</v>
      </c>
      <c r="N219" s="243">
        <f>'Vykazy HELIOS'!I219/1000</f>
        <v>3.8718400000000002</v>
      </c>
      <c r="O219" s="243">
        <f>'Vykazy HELIOS'!J219/1000</f>
        <v>0.88976999999999995</v>
      </c>
      <c r="P219" s="243">
        <f>'Vykazy HELIOS'!K219/1000</f>
        <v>0.55335000000000001</v>
      </c>
      <c r="Q219" s="243">
        <f>'Vykazy HELIOS'!L219/1000</f>
        <v>7.8203800000000001</v>
      </c>
      <c r="R219" s="243">
        <f>'Vykazy HELIOS'!M219/1000</f>
        <v>0.25341000000000002</v>
      </c>
      <c r="S219" s="243">
        <f>'Vykazy HELIOS'!N219/1000</f>
        <v>8.2000000000000003E-2</v>
      </c>
      <c r="T219" s="243">
        <f>'Vykazy HELIOS'!O219/1000</f>
        <v>0.32600000000000001</v>
      </c>
      <c r="U219" s="243">
        <f>'Vykazy HELIOS'!P219/1000</f>
        <v>1.5029999999999999</v>
      </c>
      <c r="V219" s="243">
        <f>'Vykazy HELIOS'!Q219/1000</f>
        <v>0.54400000000000004</v>
      </c>
      <c r="W219" s="243">
        <f>'Vykazy HELIOS'!R219/1000</f>
        <v>0.628</v>
      </c>
      <c r="X219" s="243">
        <f>'Vykazy HELIOS'!S219/1000</f>
        <v>2.8</v>
      </c>
      <c r="Y219" s="243">
        <f>'Vykazy HELIOS'!T219/1000</f>
        <v>3.28</v>
      </c>
      <c r="Z219" s="243">
        <f>'Vykazy HELIOS'!U219/1000</f>
        <v>0</v>
      </c>
    </row>
    <row r="220" spans="2:36" x14ac:dyDescent="0.2">
      <c r="B220" s="20" t="s">
        <v>118</v>
      </c>
      <c r="C220" s="44"/>
      <c r="D220" s="94" t="s">
        <v>227</v>
      </c>
      <c r="E220" s="58"/>
      <c r="F220" s="10"/>
      <c r="G220" s="10"/>
      <c r="H220" s="10">
        <v>20</v>
      </c>
      <c r="I220" s="11"/>
      <c r="J220" s="241">
        <f>'Vykazy HELIOS'!E220/1000</f>
        <v>-2704</v>
      </c>
      <c r="K220" s="242">
        <f>'Vykazy HELIOS'!F220/1000</f>
        <v>-2585.1999999999998</v>
      </c>
      <c r="L220" s="242">
        <f>'Vykazy HELIOS'!G220/1000</f>
        <v>-72.760000000000005</v>
      </c>
      <c r="M220" s="242">
        <f>'Vykazy HELIOS'!H220/1000</f>
        <v>-2683.8</v>
      </c>
      <c r="N220" s="243">
        <f>'Vykazy HELIOS'!I220/1000</f>
        <v>-825.32</v>
      </c>
      <c r="O220" s="243">
        <f>'Vykazy HELIOS'!J220/1000</f>
        <v>-4177.72</v>
      </c>
      <c r="P220" s="243">
        <f>'Vykazy HELIOS'!K220/1000</f>
        <v>-4813</v>
      </c>
      <c r="Q220" s="243">
        <f>'Vykazy HELIOS'!L220/1000</f>
        <v>-6466.22</v>
      </c>
      <c r="R220" s="243">
        <f>'Vykazy HELIOS'!M220/1000</f>
        <v>-2668.46236</v>
      </c>
      <c r="S220" s="243">
        <f>'Vykazy HELIOS'!N220/1000</f>
        <v>-1300.6089099999999</v>
      </c>
      <c r="T220" s="243">
        <f>'Vykazy HELIOS'!O220/1000</f>
        <v>-3485.3937900000001</v>
      </c>
      <c r="U220" s="243">
        <f>'Vykazy HELIOS'!P220/1000</f>
        <v>-4242.2294699999993</v>
      </c>
      <c r="V220" s="243">
        <f>'Vykazy HELIOS'!Q220/1000</f>
        <v>-205.53704000000002</v>
      </c>
      <c r="W220" s="243">
        <f>'Vykazy HELIOS'!R220/1000</f>
        <v>-98.490719999999996</v>
      </c>
      <c r="X220" s="243">
        <f>'Vykazy HELIOS'!S220/1000</f>
        <v>-105.70986000000001</v>
      </c>
      <c r="Y220" s="243">
        <f>'Vykazy HELIOS'!T220/1000</f>
        <v>-1079.4260200000001</v>
      </c>
      <c r="Z220" s="243">
        <f>'Vykazy HELIOS'!U220/1000</f>
        <v>0</v>
      </c>
    </row>
    <row r="221" spans="2:36" x14ac:dyDescent="0.2">
      <c r="B221" s="20" t="s">
        <v>119</v>
      </c>
      <c r="C221" s="44"/>
      <c r="D221" s="94" t="s">
        <v>228</v>
      </c>
      <c r="E221" s="58"/>
      <c r="F221" s="10"/>
      <c r="G221" s="10"/>
      <c r="H221" s="10">
        <v>21</v>
      </c>
      <c r="I221" s="11"/>
      <c r="J221" s="241">
        <f>'Vykazy HELIOS'!E221/1000</f>
        <v>0</v>
      </c>
      <c r="K221" s="242">
        <f>'Vykazy HELIOS'!F221/1000</f>
        <v>0</v>
      </c>
      <c r="L221" s="242">
        <f>'Vykazy HELIOS'!G221/1000</f>
        <v>0</v>
      </c>
      <c r="M221" s="242">
        <f>'Vykazy HELIOS'!H221/1000</f>
        <v>0</v>
      </c>
      <c r="N221" s="243">
        <f>'Vykazy HELIOS'!I221/1000</f>
        <v>0</v>
      </c>
      <c r="O221" s="243">
        <f>'Vykazy HELIOS'!J221/1000</f>
        <v>0</v>
      </c>
      <c r="P221" s="243">
        <f>'Vykazy HELIOS'!K221/1000</f>
        <v>0</v>
      </c>
      <c r="Q221" s="243">
        <f>'Vykazy HELIOS'!L221/1000</f>
        <v>0</v>
      </c>
      <c r="R221" s="243">
        <f>'Vykazy HELIOS'!M221/1000</f>
        <v>0</v>
      </c>
      <c r="S221" s="243">
        <f>'Vykazy HELIOS'!N221/1000</f>
        <v>26.346</v>
      </c>
      <c r="T221" s="243">
        <f>'Vykazy HELIOS'!O221/1000</f>
        <v>239.51400000000001</v>
      </c>
      <c r="U221" s="243">
        <f>'Vykazy HELIOS'!P221/1000</f>
        <v>-41.637999999999998</v>
      </c>
      <c r="V221" s="243">
        <f>'Vykazy HELIOS'!Q221/1000</f>
        <v>86.912999999999997</v>
      </c>
      <c r="W221" s="243">
        <f>'Vykazy HELIOS'!R221/1000</f>
        <v>1461.4143700000002</v>
      </c>
      <c r="X221" s="243">
        <f>'Vykazy HELIOS'!S221/1000</f>
        <v>72.418000000000006</v>
      </c>
      <c r="Y221" s="243">
        <f>'Vykazy HELIOS'!T221/1000</f>
        <v>-20.828679999999999</v>
      </c>
      <c r="Z221" s="243">
        <f>'Vykazy HELIOS'!U221/1000</f>
        <v>-80.626999999999995</v>
      </c>
    </row>
    <row r="222" spans="2:36" x14ac:dyDescent="0.2">
      <c r="B222" s="21" t="s">
        <v>120</v>
      </c>
      <c r="C222" s="44"/>
      <c r="D222" s="56" t="s">
        <v>121</v>
      </c>
      <c r="E222" s="99"/>
      <c r="F222" s="10"/>
      <c r="G222" s="10"/>
      <c r="H222" s="10">
        <v>22</v>
      </c>
      <c r="I222" s="11"/>
      <c r="J222" s="100">
        <f t="shared" ref="J222" si="333">J207+J208+J214+J218+J219+J220+J221</f>
        <v>7495</v>
      </c>
      <c r="K222" s="60">
        <f t="shared" ref="K222" si="334">K207+K208+K214+K218+K219+K220+K221</f>
        <v>2077.1057499999943</v>
      </c>
      <c r="L222" s="60">
        <f t="shared" ref="L222" si="335">L207+L208+L214+L218+L219+L220+L221</f>
        <v>6471.3981099999983</v>
      </c>
      <c r="M222" s="60">
        <f t="shared" ref="M222" si="336">M207+M208+M214+M218+M219+M220+M221</f>
        <v>26517.756479999982</v>
      </c>
      <c r="N222" s="61">
        <f t="shared" ref="N222" si="337">N207+N208+N214+N218+N219+N220+N221</f>
        <v>41852.151499999949</v>
      </c>
      <c r="O222" s="61">
        <f t="shared" ref="O222" si="338">O207+O208+O214+O218+O219+O220+O221</f>
        <v>63396.530069999921</v>
      </c>
      <c r="P222" s="61">
        <f t="shared" ref="P222:Q222" si="339">P207+P208+P214+P218+P219+P220+P221</f>
        <v>83759.971170000048</v>
      </c>
      <c r="Q222" s="61">
        <f t="shared" si="339"/>
        <v>78462.87940999995</v>
      </c>
      <c r="R222" s="61">
        <f t="shared" ref="R222:S222" si="340">R207+R208+R214+R218+R219+R220+R221</f>
        <v>103262.95006999995</v>
      </c>
      <c r="S222" s="61">
        <f t="shared" si="340"/>
        <v>142694.50405999998</v>
      </c>
      <c r="T222" s="61">
        <f t="shared" ref="T222:U222" si="341">T207+T208+T214+T218+T219+T220+T221</f>
        <v>34473.388589999973</v>
      </c>
      <c r="U222" s="61">
        <f t="shared" si="341"/>
        <v>79157.07272000004</v>
      </c>
      <c r="V222" s="61">
        <f t="shared" ref="V222:W222" si="342">V207+V208+V214+V218+V219+V220+V221</f>
        <v>31699.986139999983</v>
      </c>
      <c r="W222" s="61">
        <f t="shared" si="342"/>
        <v>189032.71025</v>
      </c>
      <c r="X222" s="61">
        <f t="shared" ref="X222:Y222" si="343">X207+X208+X214+X218+X219+X220+X221</f>
        <v>6793.0552299999872</v>
      </c>
      <c r="Y222" s="61">
        <f t="shared" si="343"/>
        <v>21671.363410000005</v>
      </c>
      <c r="Z222" s="61">
        <f t="shared" ref="Z222" si="344">Z207+Z208+Z214+Z218+Z219+Z220+Z221</f>
        <v>16973.074769999977</v>
      </c>
    </row>
    <row r="223" spans="2:36" x14ac:dyDescent="0.2">
      <c r="B223" s="20" t="s">
        <v>122</v>
      </c>
      <c r="C223" s="97"/>
      <c r="D223" s="94" t="s">
        <v>229</v>
      </c>
      <c r="E223" s="58"/>
      <c r="F223" s="10"/>
      <c r="G223" s="10"/>
      <c r="H223" s="10">
        <v>24</v>
      </c>
      <c r="I223" s="11"/>
      <c r="J223" s="241">
        <f>'Vykazy HELIOS'!E224/1000</f>
        <v>-4502</v>
      </c>
      <c r="K223" s="242">
        <f>'Vykazy HELIOS'!F224/1000</f>
        <v>-8405.2617200000004</v>
      </c>
      <c r="L223" s="242">
        <f>'Vykazy HELIOS'!G224/1000</f>
        <v>-5885.0899800000007</v>
      </c>
      <c r="M223" s="242">
        <f>'Vykazy HELIOS'!H224/1000</f>
        <v>-23081.87011</v>
      </c>
      <c r="N223" s="243">
        <f>'Vykazy HELIOS'!I224/1000</f>
        <v>-59955.728280000003</v>
      </c>
      <c r="O223" s="243">
        <f>'Vykazy HELIOS'!J224/1000</f>
        <v>-72786.108330000003</v>
      </c>
      <c r="P223" s="243">
        <f>'Vykazy HELIOS'!K224/1000</f>
        <v>-72938.285349999991</v>
      </c>
      <c r="Q223" s="243">
        <f>'Vykazy HELIOS'!L224/1000</f>
        <v>-120465.86315999998</v>
      </c>
      <c r="R223" s="243">
        <f>'Vykazy HELIOS'!M224/1000</f>
        <v>-143212.59508000006</v>
      </c>
      <c r="S223" s="243">
        <f>'Vykazy HELIOS'!N224/1000</f>
        <v>-41373.946919999988</v>
      </c>
      <c r="T223" s="243">
        <f>'Vykazy HELIOS'!O224/1000</f>
        <v>-51568.136210000011</v>
      </c>
      <c r="U223" s="243">
        <f>'Vykazy HELIOS'!P224/1000</f>
        <v>-43600.757589999987</v>
      </c>
      <c r="V223" s="243">
        <f>'Vykazy HELIOS'!Q224/1000</f>
        <v>-25410.933020000004</v>
      </c>
      <c r="W223" s="243">
        <f>'Vykazy HELIOS'!R224/1000</f>
        <v>-181027.21451000002</v>
      </c>
      <c r="X223" s="243">
        <f>'Vykazy HELIOS'!S224/1000</f>
        <v>-16590.566679999985</v>
      </c>
      <c r="Y223" s="243">
        <f>'Vykazy HELIOS'!T224/1000</f>
        <v>-4264.0327199999992</v>
      </c>
      <c r="Z223" s="243">
        <f>'Vykazy HELIOS'!U224/1000</f>
        <v>-15408.736500000019</v>
      </c>
    </row>
    <row r="224" spans="2:36" x14ac:dyDescent="0.2">
      <c r="B224" s="20" t="s">
        <v>123</v>
      </c>
      <c r="C224" s="97"/>
      <c r="D224" s="94" t="s">
        <v>230</v>
      </c>
      <c r="E224" s="58"/>
      <c r="F224" s="10"/>
      <c r="G224" s="10"/>
      <c r="H224" s="10">
        <v>25</v>
      </c>
      <c r="I224" s="11"/>
      <c r="J224" s="241">
        <f>'Vykazy HELIOS'!E225/1000</f>
        <v>-339</v>
      </c>
      <c r="K224" s="242">
        <f>'Vykazy HELIOS'!F225/1000</f>
        <v>0</v>
      </c>
      <c r="L224" s="242">
        <f>'Vykazy HELIOS'!G225/1000</f>
        <v>0</v>
      </c>
      <c r="M224" s="242">
        <f>'Vykazy HELIOS'!H225/1000</f>
        <v>199.2081</v>
      </c>
      <c r="N224" s="243">
        <f>'Vykazy HELIOS'!I225/1000</f>
        <v>-6.3520000000000003</v>
      </c>
      <c r="O224" s="243">
        <f>'Vykazy HELIOS'!J225/1000</f>
        <v>0</v>
      </c>
      <c r="P224" s="243">
        <f>'Vykazy HELIOS'!K225/1000</f>
        <v>0</v>
      </c>
      <c r="Q224" s="243">
        <f>'Vykazy HELIOS'!L225/1000</f>
        <v>0</v>
      </c>
      <c r="R224" s="243">
        <f>'Vykazy HELIOS'!M225/1000</f>
        <v>402.5</v>
      </c>
      <c r="S224" s="243">
        <f>'Vykazy HELIOS'!N225/1000</f>
        <v>1350</v>
      </c>
      <c r="T224" s="243">
        <f>'Vykazy HELIOS'!O225/1000</f>
        <v>0</v>
      </c>
      <c r="U224" s="243">
        <f>'Vykazy HELIOS'!P225/1000</f>
        <v>0</v>
      </c>
      <c r="V224" s="243">
        <f>'Vykazy HELIOS'!Q225/1000</f>
        <v>1414.1371999999999</v>
      </c>
      <c r="W224" s="243">
        <f>'Vykazy HELIOS'!R225/1000</f>
        <v>0</v>
      </c>
      <c r="X224" s="243">
        <f>'Vykazy HELIOS'!S225/1000</f>
        <v>1302.28</v>
      </c>
      <c r="Y224" s="243">
        <f>'Vykazy HELIOS'!T225/1000</f>
        <v>680.89</v>
      </c>
      <c r="Z224" s="243">
        <f>'Vykazy HELIOS'!U225/1000</f>
        <v>151.92289000000002</v>
      </c>
    </row>
    <row r="225" spans="2:26" x14ac:dyDescent="0.2">
      <c r="B225" s="20" t="s">
        <v>124</v>
      </c>
      <c r="C225" s="97"/>
      <c r="D225" s="94" t="s">
        <v>231</v>
      </c>
      <c r="E225" s="58"/>
      <c r="F225" s="10"/>
      <c r="G225" s="10"/>
      <c r="H225" s="10">
        <v>26</v>
      </c>
      <c r="I225" s="11"/>
      <c r="J225" s="241">
        <f>'Vykazy HELIOS'!E226/1000</f>
        <v>0</v>
      </c>
      <c r="K225" s="242">
        <f>'Vykazy HELIOS'!F226/1000</f>
        <v>0</v>
      </c>
      <c r="L225" s="242">
        <f>'Vykazy HELIOS'!G226/1000</f>
        <v>0</v>
      </c>
      <c r="M225" s="242">
        <f>'Vykazy HELIOS'!H226/1000</f>
        <v>0</v>
      </c>
      <c r="N225" s="243">
        <f>'Vykazy HELIOS'!I226/1000</f>
        <v>0</v>
      </c>
      <c r="O225" s="243">
        <f>'Vykazy HELIOS'!J226/1000</f>
        <v>0</v>
      </c>
      <c r="P225" s="243">
        <f>'Vykazy HELIOS'!K226/1000</f>
        <v>0</v>
      </c>
      <c r="Q225" s="243">
        <f>'Vykazy HELIOS'!L226/1000</f>
        <v>0</v>
      </c>
      <c r="R225" s="243">
        <f>'Vykazy HELIOS'!M226/1000</f>
        <v>0</v>
      </c>
      <c r="S225" s="243">
        <f>'Vykazy HELIOS'!N226/1000</f>
        <v>0</v>
      </c>
      <c r="T225" s="243">
        <f>'Vykazy HELIOS'!O226/1000</f>
        <v>0</v>
      </c>
      <c r="U225" s="243">
        <f>'Vykazy HELIOS'!P226/1000</f>
        <v>0</v>
      </c>
      <c r="V225" s="243">
        <f>'Vykazy HELIOS'!Q226/1000</f>
        <v>0</v>
      </c>
      <c r="W225" s="243">
        <f>'Vykazy HELIOS'!R226/1000</f>
        <v>0</v>
      </c>
      <c r="X225" s="243">
        <f>'Vykazy HELIOS'!S226/1000</f>
        <v>0</v>
      </c>
      <c r="Y225" s="243">
        <f>'Vykazy HELIOS'!T226/1000</f>
        <v>0</v>
      </c>
      <c r="Z225" s="243">
        <f>'Vykazy HELIOS'!U226/1000</f>
        <v>0</v>
      </c>
    </row>
    <row r="226" spans="2:26" x14ac:dyDescent="0.2">
      <c r="B226" s="21" t="s">
        <v>125</v>
      </c>
      <c r="C226" s="44"/>
      <c r="D226" s="56" t="s">
        <v>126</v>
      </c>
      <c r="E226" s="99"/>
      <c r="F226" s="91"/>
      <c r="G226" s="91"/>
      <c r="H226" s="91">
        <v>28</v>
      </c>
      <c r="I226" s="92"/>
      <c r="J226" s="101">
        <f t="shared" ref="J226" si="345">SUM(J223:J225)</f>
        <v>-4841</v>
      </c>
      <c r="K226" s="54">
        <f t="shared" ref="K226" si="346">SUM(K223:K225)</f>
        <v>-8405.2617200000004</v>
      </c>
      <c r="L226" s="54">
        <f t="shared" ref="L226" si="347">SUM(L223:L225)</f>
        <v>-5885.0899800000007</v>
      </c>
      <c r="M226" s="54">
        <f t="shared" ref="M226" si="348">SUM(M223:M225)</f>
        <v>-22882.66201</v>
      </c>
      <c r="N226" s="55">
        <f t="shared" ref="N226" si="349">SUM(N223:N225)</f>
        <v>-59962.080280000002</v>
      </c>
      <c r="O226" s="55">
        <f t="shared" ref="O226" si="350">SUM(O223:O225)</f>
        <v>-72786.108330000003</v>
      </c>
      <c r="P226" s="55">
        <f t="shared" ref="P226:Q226" si="351">SUM(P223:P225)</f>
        <v>-72938.285349999991</v>
      </c>
      <c r="Q226" s="55">
        <f t="shared" si="351"/>
        <v>-120465.86315999998</v>
      </c>
      <c r="R226" s="55">
        <f t="shared" ref="R226:S226" si="352">SUM(R223:R225)</f>
        <v>-142810.09508000006</v>
      </c>
      <c r="S226" s="55">
        <f t="shared" si="352"/>
        <v>-40023.946919999988</v>
      </c>
      <c r="T226" s="55">
        <f t="shared" ref="T226:U226" si="353">SUM(T223:T225)</f>
        <v>-51568.136210000011</v>
      </c>
      <c r="U226" s="55">
        <f t="shared" si="353"/>
        <v>-43600.757589999987</v>
      </c>
      <c r="V226" s="55">
        <f t="shared" ref="V226:W226" si="354">SUM(V223:V225)</f>
        <v>-23996.795820000003</v>
      </c>
      <c r="W226" s="55">
        <f t="shared" si="354"/>
        <v>-181027.21451000002</v>
      </c>
      <c r="X226" s="55">
        <f t="shared" ref="X226:Y226" si="355">SUM(X223:X225)</f>
        <v>-15288.286679999985</v>
      </c>
      <c r="Y226" s="55">
        <f t="shared" si="355"/>
        <v>-3583.1427199999994</v>
      </c>
      <c r="Z226" s="55">
        <f t="shared" ref="Z226" si="356">SUM(Z223:Z225)</f>
        <v>-15256.813610000019</v>
      </c>
    </row>
    <row r="227" spans="2:26" x14ac:dyDescent="0.2">
      <c r="B227" s="20" t="s">
        <v>127</v>
      </c>
      <c r="C227" s="97"/>
      <c r="D227" s="94" t="s">
        <v>232</v>
      </c>
      <c r="E227" s="58"/>
      <c r="F227" s="10"/>
      <c r="G227" s="10"/>
      <c r="H227" s="10"/>
      <c r="I227" s="11"/>
      <c r="J227" s="98">
        <f t="shared" ref="J227" si="357">SUM(J228:J229)</f>
        <v>0</v>
      </c>
      <c r="K227" s="26">
        <f t="shared" ref="K227" si="358">SUM(K228:K229)</f>
        <v>5692.8337300000003</v>
      </c>
      <c r="L227" s="26">
        <f t="shared" ref="L227" si="359">SUM(L228:L229)</f>
        <v>-166.94491000000014</v>
      </c>
      <c r="M227" s="26">
        <f t="shared" ref="M227" si="360">SUM(M228:M229)</f>
        <v>-1892.6812200000002</v>
      </c>
      <c r="N227" s="59">
        <f t="shared" ref="N227" si="361">SUM(N228:N229)</f>
        <v>29348.498009999999</v>
      </c>
      <c r="O227" s="59">
        <f t="shared" ref="O227" si="362">SUM(O228:O229)</f>
        <v>-23403.361710000001</v>
      </c>
      <c r="P227" s="59">
        <f t="shared" ref="P227:Q227" si="363">SUM(P228:P229)</f>
        <v>-7736.6702700000005</v>
      </c>
      <c r="Q227" s="59">
        <f t="shared" si="363"/>
        <v>36638.737959999999</v>
      </c>
      <c r="R227" s="59">
        <f t="shared" ref="R227:S227" si="364">SUM(R228:R229)</f>
        <v>42122.99742</v>
      </c>
      <c r="S227" s="59">
        <f t="shared" si="364"/>
        <v>-39363.843010000004</v>
      </c>
      <c r="T227" s="59">
        <f t="shared" ref="T227:U227" si="365">SUM(T228:T229)</f>
        <v>-23965.481370000001</v>
      </c>
      <c r="U227" s="59">
        <f t="shared" si="365"/>
        <v>-6141.8444599999993</v>
      </c>
      <c r="V227" s="59">
        <f t="shared" ref="V227:W227" si="366">SUM(V228:V229)</f>
        <v>-5862.2213400000001</v>
      </c>
      <c r="W227" s="59">
        <f t="shared" si="366"/>
        <v>-5270.01883</v>
      </c>
      <c r="X227" s="59">
        <f t="shared" ref="X227:Y227" si="367">SUM(X228:X229)</f>
        <v>7976.9820399999999</v>
      </c>
      <c r="Y227" s="59">
        <f t="shared" si="367"/>
        <v>-2231.2765099999997</v>
      </c>
      <c r="Z227" s="59">
        <f t="shared" ref="Z227" si="368">SUM(Z228:Z229)</f>
        <v>-2280.8939500000001</v>
      </c>
    </row>
    <row r="228" spans="2:26" x14ac:dyDescent="0.2">
      <c r="B228" s="15" t="s">
        <v>127</v>
      </c>
      <c r="C228" s="139">
        <v>1</v>
      </c>
      <c r="D228" s="140" t="s">
        <v>323</v>
      </c>
      <c r="E228" s="121"/>
      <c r="F228" s="33"/>
      <c r="G228" s="33"/>
      <c r="H228" s="33">
        <v>30</v>
      </c>
      <c r="I228" s="34"/>
      <c r="J228" s="232">
        <f>'Vykazy HELIOS'!E230/1000</f>
        <v>0</v>
      </c>
      <c r="K228" s="233">
        <f>'Vykazy HELIOS'!F230/1000</f>
        <v>5692.8337300000003</v>
      </c>
      <c r="L228" s="233">
        <f>'Vykazy HELIOS'!G230/1000</f>
        <v>-166.94491000000014</v>
      </c>
      <c r="M228" s="233">
        <f>'Vykazy HELIOS'!H230/1000</f>
        <v>-1892.6812200000002</v>
      </c>
      <c r="N228" s="234">
        <f>'Vykazy HELIOS'!I230/1000</f>
        <v>29348.498009999999</v>
      </c>
      <c r="O228" s="234">
        <f>'Vykazy HELIOS'!J230/1000</f>
        <v>-23403.361710000001</v>
      </c>
      <c r="P228" s="234">
        <f>'Vykazy HELIOS'!K230/1000</f>
        <v>-7736.6702700000005</v>
      </c>
      <c r="Q228" s="234">
        <f>'Vykazy HELIOS'!L230/1000</f>
        <v>36638.737959999999</v>
      </c>
      <c r="R228" s="234">
        <f>'Vykazy HELIOS'!M230/1000</f>
        <v>42122.99742</v>
      </c>
      <c r="S228" s="234">
        <f>'Vykazy HELIOS'!N230/1000</f>
        <v>-39363.843010000004</v>
      </c>
      <c r="T228" s="234">
        <f>'Vykazy HELIOS'!O230/1000</f>
        <v>-23965.481370000001</v>
      </c>
      <c r="U228" s="234">
        <f>'Vykazy HELIOS'!P230/1000</f>
        <v>-6141.8444599999993</v>
      </c>
      <c r="V228" s="234">
        <f>'Vykazy HELIOS'!Q230/1000</f>
        <v>-5862.2213400000001</v>
      </c>
      <c r="W228" s="234">
        <f>'Vykazy HELIOS'!R230/1000</f>
        <v>-5270.01883</v>
      </c>
      <c r="X228" s="234">
        <f>'Vykazy HELIOS'!S230/1000</f>
        <v>7976.9820399999999</v>
      </c>
      <c r="Y228" s="234">
        <f>'Vykazy HELIOS'!T230/1000</f>
        <v>-2231.2765099999997</v>
      </c>
      <c r="Z228" s="234">
        <f>'Vykazy HELIOS'!U230/1000</f>
        <v>-2280.8939500000001</v>
      </c>
    </row>
    <row r="229" spans="2:26" x14ac:dyDescent="0.2">
      <c r="B229" s="108" t="s">
        <v>127</v>
      </c>
      <c r="C229" s="141">
        <f>C228+1</f>
        <v>2</v>
      </c>
      <c r="D229" s="142" t="s">
        <v>233</v>
      </c>
      <c r="E229" s="48"/>
      <c r="F229" s="40"/>
      <c r="G229" s="40"/>
      <c r="H229" s="40"/>
      <c r="I229" s="41"/>
      <c r="J229" s="238">
        <v>0</v>
      </c>
      <c r="K229" s="239">
        <v>0</v>
      </c>
      <c r="L229" s="239">
        <v>0</v>
      </c>
      <c r="M229" s="239">
        <v>0</v>
      </c>
      <c r="N229" s="240">
        <v>0</v>
      </c>
      <c r="O229" s="240">
        <v>0</v>
      </c>
      <c r="P229" s="240">
        <v>0</v>
      </c>
      <c r="Q229" s="240">
        <v>0</v>
      </c>
      <c r="R229" s="240">
        <v>0</v>
      </c>
      <c r="S229" s="240">
        <v>0</v>
      </c>
      <c r="T229" s="240">
        <v>0</v>
      </c>
      <c r="U229" s="240">
        <v>0</v>
      </c>
      <c r="V229" s="240">
        <v>0</v>
      </c>
      <c r="W229" s="240">
        <v>0</v>
      </c>
      <c r="X229" s="240">
        <v>0</v>
      </c>
      <c r="Y229" s="240">
        <v>0</v>
      </c>
      <c r="Z229" s="240">
        <v>0</v>
      </c>
    </row>
    <row r="230" spans="2:26" x14ac:dyDescent="0.2">
      <c r="B230" s="20" t="s">
        <v>128</v>
      </c>
      <c r="C230" s="97"/>
      <c r="D230" s="94" t="s">
        <v>211</v>
      </c>
      <c r="E230" s="58"/>
      <c r="F230" s="10"/>
      <c r="G230" s="10"/>
      <c r="H230" s="10">
        <v>31</v>
      </c>
      <c r="I230" s="11"/>
      <c r="J230" s="98">
        <f>'Vykazy HELIOS'!E231/1000</f>
        <v>134</v>
      </c>
      <c r="K230" s="26">
        <f>'Vykazy HELIOS'!F231/1000</f>
        <v>298.37</v>
      </c>
      <c r="L230" s="26">
        <f>'Vykazy HELIOS'!G231/1000</f>
        <v>54.83</v>
      </c>
      <c r="M230" s="26">
        <f>'Vykazy HELIOS'!H231/1000</f>
        <v>0</v>
      </c>
      <c r="N230" s="59">
        <f>'Vykazy HELIOS'!I231/1000</f>
        <v>0</v>
      </c>
      <c r="O230" s="59">
        <f>'Vykazy HELIOS'!J231/1000</f>
        <v>26000</v>
      </c>
      <c r="P230" s="59">
        <f>'Vykazy HELIOS'!K231/1000</f>
        <v>0</v>
      </c>
      <c r="Q230" s="59">
        <f>'Vykazy HELIOS'!L231/1000</f>
        <v>6000</v>
      </c>
      <c r="R230" s="59">
        <f>'Vykazy HELIOS'!M231/1000</f>
        <v>0</v>
      </c>
      <c r="S230" s="59">
        <f>'Vykazy HELIOS'!N231/1000</f>
        <v>-14000</v>
      </c>
      <c r="T230" s="59">
        <f>'Vykazy HELIOS'!O231/1000</f>
        <v>0</v>
      </c>
      <c r="U230" s="59">
        <f>'Vykazy HELIOS'!P231/1000</f>
        <v>-15100</v>
      </c>
      <c r="V230" s="59">
        <f>'Vykazy HELIOS'!Q231/1000</f>
        <v>-4900</v>
      </c>
      <c r="W230" s="59">
        <f>'Vykazy HELIOS'!R231/1000</f>
        <v>0</v>
      </c>
      <c r="X230" s="59">
        <f>'Vykazy HELIOS'!S231/1000</f>
        <v>0</v>
      </c>
      <c r="Y230" s="59">
        <f>'Vykazy HELIOS'!T231/1000</f>
        <v>0</v>
      </c>
      <c r="Z230" s="59">
        <f>'Vykazy HELIOS'!U231/1000</f>
        <v>0</v>
      </c>
    </row>
    <row r="231" spans="2:26" x14ac:dyDescent="0.2">
      <c r="B231" s="15" t="s">
        <v>128</v>
      </c>
      <c r="C231" s="139">
        <v>1</v>
      </c>
      <c r="D231" s="140" t="s">
        <v>234</v>
      </c>
      <c r="E231" s="121"/>
      <c r="F231" s="33"/>
      <c r="G231" s="33"/>
      <c r="H231" s="33">
        <v>32</v>
      </c>
      <c r="I231" s="34"/>
      <c r="J231" s="232">
        <f>'Vykazy HELIOS'!E232/1000</f>
        <v>0</v>
      </c>
      <c r="K231" s="233">
        <f>'Vykazy HELIOS'!F232/1000</f>
        <v>0</v>
      </c>
      <c r="L231" s="233">
        <f>'Vykazy HELIOS'!G232/1000</f>
        <v>0</v>
      </c>
      <c r="M231" s="233">
        <f>'Vykazy HELIOS'!H232/1000</f>
        <v>0</v>
      </c>
      <c r="N231" s="234">
        <f>'Vykazy HELIOS'!I232/1000</f>
        <v>0</v>
      </c>
      <c r="O231" s="234">
        <f>'Vykazy HELIOS'!J232/1000</f>
        <v>0</v>
      </c>
      <c r="P231" s="234">
        <f>'Vykazy HELIOS'!K232/1000</f>
        <v>0</v>
      </c>
      <c r="Q231" s="234">
        <f>'Vykazy HELIOS'!L232/1000</f>
        <v>0</v>
      </c>
      <c r="R231" s="234">
        <f>'Vykazy HELIOS'!M232/1000</f>
        <v>0</v>
      </c>
      <c r="S231" s="234">
        <f>'Vykazy HELIOS'!N232/1000</f>
        <v>0</v>
      </c>
      <c r="T231" s="234">
        <f>'Vykazy HELIOS'!O232/1000</f>
        <v>0</v>
      </c>
      <c r="U231" s="234">
        <f>'Vykazy HELIOS'!P232/1000</f>
        <v>0</v>
      </c>
      <c r="V231" s="234">
        <f>'Vykazy HELIOS'!Q232/1000</f>
        <v>0</v>
      </c>
      <c r="W231" s="234">
        <f>'Vykazy HELIOS'!R232/1000</f>
        <v>0</v>
      </c>
      <c r="X231" s="234">
        <f>'Vykazy HELIOS'!S232/1000</f>
        <v>0</v>
      </c>
      <c r="Y231" s="234">
        <f>'Vykazy HELIOS'!T232/1000</f>
        <v>0</v>
      </c>
      <c r="Z231" s="234">
        <f>'Vykazy HELIOS'!U232/1000</f>
        <v>0</v>
      </c>
    </row>
    <row r="232" spans="2:26" x14ac:dyDescent="0.2">
      <c r="B232" s="109" t="s">
        <v>128</v>
      </c>
      <c r="C232" s="143">
        <f>C231+1</f>
        <v>2</v>
      </c>
      <c r="D232" s="144" t="s">
        <v>235</v>
      </c>
      <c r="E232" s="127"/>
      <c r="F232" s="1"/>
      <c r="G232" s="1"/>
      <c r="H232">
        <v>33</v>
      </c>
      <c r="I232" s="112"/>
      <c r="J232" s="235">
        <f>'Vykazy HELIOS'!E233/1000+'Vykazy HELIOS'!E235/1000</f>
        <v>0</v>
      </c>
      <c r="K232" s="236">
        <f>'Vykazy HELIOS'!F233/1000+'Vykazy HELIOS'!F235/1000</f>
        <v>0</v>
      </c>
      <c r="L232" s="236">
        <f>'Vykazy HELIOS'!G233/1000+'Vykazy HELIOS'!G235/1000</f>
        <v>0</v>
      </c>
      <c r="M232" s="236">
        <f>'Vykazy HELIOS'!H233/1000+'Vykazy HELIOS'!H235/1000</f>
        <v>0</v>
      </c>
      <c r="N232" s="237">
        <f>'Vykazy HELIOS'!I233/1000+'Vykazy HELIOS'!I235/1000</f>
        <v>0</v>
      </c>
      <c r="O232" s="237">
        <f>'Vykazy HELIOS'!J233/1000+'Vykazy HELIOS'!J235/1000</f>
        <v>0</v>
      </c>
      <c r="P232" s="237">
        <f>'Vykazy HELIOS'!K233/1000+'Vykazy HELIOS'!K235/1000</f>
        <v>0</v>
      </c>
      <c r="Q232" s="237">
        <f>'Vykazy HELIOS'!L233/1000+'Vykazy HELIOS'!L235/1000</f>
        <v>0</v>
      </c>
      <c r="R232" s="237">
        <f>'Vykazy HELIOS'!M233/1000+'Vykazy HELIOS'!M235/1000</f>
        <v>0</v>
      </c>
      <c r="S232" s="237">
        <f>'Vykazy HELIOS'!N233/1000+'Vykazy HELIOS'!N235/1000</f>
        <v>0</v>
      </c>
      <c r="T232" s="237">
        <f>'Vykazy HELIOS'!O233/1000+'Vykazy HELIOS'!O235/1000</f>
        <v>0</v>
      </c>
      <c r="U232" s="237">
        <f>'Vykazy HELIOS'!P233/1000+'Vykazy HELIOS'!P235/1000</f>
        <v>0</v>
      </c>
      <c r="V232" s="237">
        <f>'Vykazy HELIOS'!Q233/1000+'Vykazy HELIOS'!Q235/1000</f>
        <v>0</v>
      </c>
      <c r="W232" s="237">
        <f>'Vykazy HELIOS'!R233/1000+'Vykazy HELIOS'!R235/1000</f>
        <v>0</v>
      </c>
      <c r="X232" s="237">
        <f>'Vykazy HELIOS'!S233/1000+'Vykazy HELIOS'!S235/1000</f>
        <v>0</v>
      </c>
      <c r="Y232" s="237">
        <f>'Vykazy HELIOS'!T233/1000+'Vykazy HELIOS'!T235/1000</f>
        <v>0</v>
      </c>
      <c r="Z232" s="237">
        <f>'Vykazy HELIOS'!U233/1000+'Vykazy HELIOS'!U235/1000</f>
        <v>0</v>
      </c>
    </row>
    <row r="233" spans="2:26" x14ac:dyDescent="0.2">
      <c r="B233" s="108" t="s">
        <v>128</v>
      </c>
      <c r="C233" s="141">
        <f>C232+1</f>
        <v>3</v>
      </c>
      <c r="D233" s="142" t="s">
        <v>236</v>
      </c>
      <c r="E233" s="48"/>
      <c r="F233" s="40"/>
      <c r="G233" s="40"/>
      <c r="H233" s="40">
        <v>37</v>
      </c>
      <c r="I233" s="41"/>
      <c r="J233" s="238">
        <f>'Vykazy HELIOS'!E237/1000</f>
        <v>0</v>
      </c>
      <c r="K233" s="239">
        <f>'Vykazy HELIOS'!F237/1000</f>
        <v>0</v>
      </c>
      <c r="L233" s="239">
        <f>'Vykazy HELIOS'!G237/1000</f>
        <v>0</v>
      </c>
      <c r="M233" s="239">
        <f>'Vykazy HELIOS'!H237/1000</f>
        <v>0</v>
      </c>
      <c r="N233" s="240">
        <f>'Vykazy HELIOS'!I237/1000</f>
        <v>0</v>
      </c>
      <c r="O233" s="240">
        <f>'Vykazy HELIOS'!J237/1000</f>
        <v>0</v>
      </c>
      <c r="P233" s="240">
        <f>'Vykazy HELIOS'!K237/1000</f>
        <v>0</v>
      </c>
      <c r="Q233" s="240">
        <f>'Vykazy HELIOS'!L237/1000</f>
        <v>0</v>
      </c>
      <c r="R233" s="240">
        <f>'Vykazy HELIOS'!M237/1000</f>
        <v>0</v>
      </c>
      <c r="S233" s="240">
        <f>'Vykazy HELIOS'!N237/1000</f>
        <v>0</v>
      </c>
      <c r="T233" s="240">
        <f>'Vykazy HELIOS'!O237/1000</f>
        <v>0</v>
      </c>
      <c r="U233" s="240">
        <f>'Vykazy HELIOS'!P237/1000</f>
        <v>0</v>
      </c>
      <c r="V233" s="240">
        <f>'Vykazy HELIOS'!Q237/1000</f>
        <v>0</v>
      </c>
      <c r="W233" s="240">
        <f>'Vykazy HELIOS'!R237/1000</f>
        <v>0</v>
      </c>
      <c r="X233" s="240">
        <f>'Vykazy HELIOS'!S237/1000</f>
        <v>0</v>
      </c>
      <c r="Y233" s="240">
        <f>'Vykazy HELIOS'!T237/1000</f>
        <v>0</v>
      </c>
      <c r="Z233" s="240">
        <f>'Vykazy HELIOS'!U237/1000</f>
        <v>0</v>
      </c>
    </row>
    <row r="234" spans="2:26" x14ac:dyDescent="0.2">
      <c r="B234" s="21" t="s">
        <v>129</v>
      </c>
      <c r="C234" s="44"/>
      <c r="D234" s="56" t="s">
        <v>130</v>
      </c>
      <c r="E234" s="99"/>
      <c r="F234" s="91"/>
      <c r="G234" s="91"/>
      <c r="H234" s="91"/>
      <c r="I234" s="92"/>
      <c r="J234" s="101">
        <f t="shared" ref="J234:N234" si="369">J227+J230</f>
        <v>134</v>
      </c>
      <c r="K234" s="54">
        <f t="shared" si="369"/>
        <v>5991.2037300000002</v>
      </c>
      <c r="L234" s="54">
        <f t="shared" si="369"/>
        <v>-112.11491000000014</v>
      </c>
      <c r="M234" s="54">
        <f t="shared" si="369"/>
        <v>-1892.6812200000002</v>
      </c>
      <c r="N234" s="55">
        <f t="shared" si="369"/>
        <v>29348.498009999999</v>
      </c>
      <c r="O234" s="55">
        <f t="shared" ref="O234" si="370">O227+O230</f>
        <v>2596.638289999999</v>
      </c>
      <c r="P234" s="55">
        <f t="shared" ref="P234:Q234" si="371">P227+P230</f>
        <v>-7736.6702700000005</v>
      </c>
      <c r="Q234" s="55">
        <f t="shared" si="371"/>
        <v>42638.737959999999</v>
      </c>
      <c r="R234" s="55">
        <f t="shared" ref="R234:S234" si="372">R227+R230</f>
        <v>42122.99742</v>
      </c>
      <c r="S234" s="55">
        <f t="shared" si="372"/>
        <v>-53363.843010000004</v>
      </c>
      <c r="T234" s="55">
        <f t="shared" ref="T234:U234" si="373">T227+T230</f>
        <v>-23965.481370000001</v>
      </c>
      <c r="U234" s="55">
        <f t="shared" si="373"/>
        <v>-21241.84446</v>
      </c>
      <c r="V234" s="55">
        <f t="shared" ref="V234:W234" si="374">V227+V230</f>
        <v>-10762.22134</v>
      </c>
      <c r="W234" s="55">
        <f t="shared" si="374"/>
        <v>-5270.01883</v>
      </c>
      <c r="X234" s="55">
        <f t="shared" ref="X234:Y234" si="375">X227+X230</f>
        <v>7976.9820399999999</v>
      </c>
      <c r="Y234" s="55">
        <f t="shared" si="375"/>
        <v>-2231.2765099999997</v>
      </c>
      <c r="Z234" s="55">
        <f t="shared" ref="Z234" si="376">Z227+Z230</f>
        <v>-2280.8939500000001</v>
      </c>
    </row>
    <row r="235" spans="2:26" x14ac:dyDescent="0.2">
      <c r="B235" s="21" t="s">
        <v>20</v>
      </c>
      <c r="C235" s="44"/>
      <c r="D235" s="56" t="s">
        <v>131</v>
      </c>
      <c r="E235" s="99"/>
      <c r="F235" s="10"/>
      <c r="G235" s="10"/>
      <c r="H235" s="10"/>
      <c r="I235" s="11"/>
      <c r="J235" s="101">
        <f t="shared" ref="J235" si="377">J222+J226+J234</f>
        <v>2788</v>
      </c>
      <c r="K235" s="54">
        <f t="shared" ref="K235" si="378">K222+K226+K234</f>
        <v>-336.95224000000599</v>
      </c>
      <c r="L235" s="54">
        <f t="shared" ref="L235" si="379">L222+L226+L234</f>
        <v>474.1932199999975</v>
      </c>
      <c r="M235" s="54">
        <f t="shared" ref="M235" si="380">M222+M226+M234</f>
        <v>1742.4132499999816</v>
      </c>
      <c r="N235" s="55">
        <f t="shared" ref="N235" si="381">N222+N226+N234</f>
        <v>11238.569229999946</v>
      </c>
      <c r="O235" s="55">
        <f t="shared" ref="O235" si="382">O222+O226+O234</f>
        <v>-6792.9399700000831</v>
      </c>
      <c r="P235" s="55">
        <f t="shared" ref="P235:Q235" si="383">P222+P226+P234</f>
        <v>3085.0155500000565</v>
      </c>
      <c r="Q235" s="55">
        <f t="shared" si="383"/>
        <v>635.75420999997004</v>
      </c>
      <c r="R235" s="55">
        <f t="shared" ref="R235:S235" si="384">R222+R226+R234</f>
        <v>2575.8524099998904</v>
      </c>
      <c r="S235" s="55">
        <f t="shared" si="384"/>
        <v>49306.714129999986</v>
      </c>
      <c r="T235" s="55">
        <f t="shared" ref="T235:U235" si="385">T222+T226+T234</f>
        <v>-41060.22899000004</v>
      </c>
      <c r="U235" s="55">
        <f t="shared" si="385"/>
        <v>14314.470670000053</v>
      </c>
      <c r="V235" s="55">
        <f t="shared" ref="V235:W235" si="386">V222+V226+V234</f>
        <v>-3059.0310200000204</v>
      </c>
      <c r="W235" s="55">
        <f t="shared" si="386"/>
        <v>2735.4769099999839</v>
      </c>
      <c r="X235" s="55">
        <f t="shared" ref="X235:Y235" si="387">X222+X226+X234</f>
        <v>-518.24940999999762</v>
      </c>
      <c r="Y235" s="55">
        <f t="shared" si="387"/>
        <v>15856.944180000006</v>
      </c>
      <c r="Z235" s="55">
        <f t="shared" ref="Z235" si="388">Z222+Z226+Z234</f>
        <v>-564.63279000004195</v>
      </c>
    </row>
    <row r="236" spans="2:26" x14ac:dyDescent="0.2">
      <c r="B236" s="85" t="s">
        <v>42</v>
      </c>
      <c r="C236" s="38"/>
      <c r="D236" s="86" t="s">
        <v>132</v>
      </c>
      <c r="E236" s="87"/>
      <c r="F236" s="40"/>
      <c r="G236" s="40"/>
      <c r="H236" s="40"/>
      <c r="I236" s="41"/>
      <c r="J236" s="88">
        <f t="shared" ref="J236" si="389">J205+J235</f>
        <v>4905</v>
      </c>
      <c r="K236" s="50">
        <f t="shared" ref="K236" si="390">K205+K235</f>
        <v>4220.047759999994</v>
      </c>
      <c r="L236" s="50">
        <f t="shared" ref="L236" si="391">L205+L235</f>
        <v>4396.6247499999972</v>
      </c>
      <c r="M236" s="50">
        <f t="shared" ref="M236" si="392">M205+M235</f>
        <v>6084.2079999999814</v>
      </c>
      <c r="N236" s="51">
        <f t="shared" ref="N236" si="393">N205+N235</f>
        <v>16922.777229999945</v>
      </c>
      <c r="O236" s="51">
        <f t="shared" ref="O236" si="394">O205+O235</f>
        <v>10129.837259999917</v>
      </c>
      <c r="P236" s="51">
        <f t="shared" ref="P236:Q236" si="395">P205+P235</f>
        <v>13214.852810000057</v>
      </c>
      <c r="Q236" s="51">
        <f t="shared" si="395"/>
        <v>13850.60701999997</v>
      </c>
      <c r="R236" s="51">
        <f t="shared" ref="R236:S236" si="396">R205+R235</f>
        <v>16426.45942999989</v>
      </c>
      <c r="S236" s="51">
        <f t="shared" si="396"/>
        <v>64928.173559999981</v>
      </c>
      <c r="T236" s="51">
        <f t="shared" ref="T236:U236" si="397">T205+T235</f>
        <v>-16003.475330000041</v>
      </c>
      <c r="U236" s="51">
        <f t="shared" si="397"/>
        <v>40182.615130000049</v>
      </c>
      <c r="V236" s="51">
        <f t="shared" ref="V236:W236" si="398">V205+V235</f>
        <v>32150.516449999977</v>
      </c>
      <c r="W236" s="51">
        <f t="shared" si="398"/>
        <v>30844.191479999983</v>
      </c>
      <c r="X236" s="51">
        <f t="shared" ref="X236:Y236" si="399">X205+X235</f>
        <v>28864.499700000004</v>
      </c>
      <c r="Y236" s="51">
        <f t="shared" si="399"/>
        <v>42044.465880000003</v>
      </c>
      <c r="Z236" s="51">
        <f t="shared" ref="Z236" si="400">Z205+Z235</f>
        <v>33138.881769999964</v>
      </c>
    </row>
    <row r="238" spans="2:26" x14ac:dyDescent="0.2">
      <c r="D238" s="227" t="s">
        <v>491</v>
      </c>
      <c r="J238">
        <f>'Vykazy HELIOS'!E240/1000-Výkazy!J235</f>
        <v>0</v>
      </c>
      <c r="K238">
        <f>'Vykazy HELIOS'!F240/1000-Výkazy!K235</f>
        <v>7.617018127348274E-12</v>
      </c>
      <c r="L238">
        <f>'Vykazy HELIOS'!G240/1000-Výkazy!L235</f>
        <v>-2.3874235921539366E-12</v>
      </c>
      <c r="M238">
        <f>'Vykazy HELIOS'!H240/1000-Výkazy!M235</f>
        <v>1.8417267710901797E-11</v>
      </c>
      <c r="N238">
        <f>'Vykazy HELIOS'!I240/1000-Výkazy!N235</f>
        <v>5.0931703299283981E-11</v>
      </c>
      <c r="O238">
        <f>'Vykazy HELIOS'!J240/1000-Výkazy!O235</f>
        <v>8.4583007264882326E-11</v>
      </c>
      <c r="P238">
        <f>'Vykazy HELIOS'!K240/1000-Výkazy!P235</f>
        <v>-7.4123818194493651E-11</v>
      </c>
      <c r="Q238">
        <f>'Vykazy HELIOS'!L240/1000-Výkazy!Q235</f>
        <v>3.8312464312184602E-11</v>
      </c>
      <c r="R238">
        <f>'Vykazy HELIOS'!M240/1000-Výkazy!R235</f>
        <v>6.1390892369672656E-11</v>
      </c>
      <c r="S238">
        <f>'Vykazy HELIOS'!N240/1000-Výkazy!S235</f>
        <v>-26.345999999975902</v>
      </c>
      <c r="T238">
        <f>'Vykazy HELIOS'!O240/1000-Výkazy!T235</f>
        <v>-239.51399999997375</v>
      </c>
      <c r="U238">
        <f>'Vykazy HELIOS'!P240/1000-Výkazy!U235</f>
        <v>41.637999999955355</v>
      </c>
      <c r="V238">
        <f>'Vykazy HELIOS'!Q240/1000-Výkazy!V235</f>
        <v>-86.912999999968179</v>
      </c>
      <c r="W238">
        <f>'Vykazy HELIOS'!R240/1000-Výkazy!W235</f>
        <v>-1461.4143700000518</v>
      </c>
      <c r="X238">
        <f>'Vykazy HELIOS'!S240/1000-Výkazy!X235</f>
        <v>-72.417999999992276</v>
      </c>
      <c r="Y238">
        <f>'Vykazy HELIOS'!T240/1000-Výkazy!Y235</f>
        <v>20.828679999998712</v>
      </c>
      <c r="Z238">
        <f>'Vykazy HELIOS'!U240/1000-Výkazy!Z235</f>
        <v>80.627000000020473</v>
      </c>
    </row>
  </sheetData>
  <mergeCells count="1">
    <mergeCell ref="B79:C86"/>
  </mergeCells>
  <phoneticPr fontId="0" type="noConversion"/>
  <conditionalFormatting sqref="J238:Z238">
    <cfRule type="cellIs" dxfId="0" priority="1" operator="equal">
      <formula>0</formula>
    </cfRule>
  </conditionalFormatting>
  <printOptions gridLinesSet="0"/>
  <pageMargins left="0.59055118110236227" right="0" top="0.39370078740157483" bottom="0.39370078740157483" header="0.51181102362204722" footer="0.31496062992125984"/>
  <pageSetup paperSize="9" orientation="portrait" horizontalDpi="300" verticalDpi="300" r:id="rId1"/>
  <headerFooter alignWithMargins="0">
    <oddFooter>&amp;C&amp;F / &amp;D</oddFooter>
  </headerFooter>
  <rowBreaks count="2" manualBreakCount="2">
    <brk id="72" max="16383" man="1"/>
    <brk id="20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B47" transitionEvaluation="1" transitionEntry="1" codeName="List6">
    <pageSetUpPr fitToPage="1"/>
  </sheetPr>
  <dimension ref="A2:W72"/>
  <sheetViews>
    <sheetView showGridLines="0" topLeftCell="B47" zoomScale="140" zoomScaleNormal="140" workbookViewId="0">
      <selection activeCell="T69" sqref="T69"/>
    </sheetView>
  </sheetViews>
  <sheetFormatPr defaultColWidth="9.83203125" defaultRowHeight="11.25" outlineLevelCol="1" x14ac:dyDescent="0.2"/>
  <cols>
    <col min="1" max="1" width="0.6640625" hidden="1" customWidth="1"/>
    <col min="2" max="2" width="2.33203125" customWidth="1"/>
    <col min="3" max="3" width="33.33203125" customWidth="1"/>
    <col min="4" max="4" width="6.5" hidden="1" customWidth="1" outlineLevel="1"/>
    <col min="5" max="6" width="7.6640625" hidden="1" customWidth="1" outlineLevel="1"/>
    <col min="7" max="7" width="6.5" hidden="1" customWidth="1" outlineLevel="1"/>
    <col min="8" max="8" width="7.6640625" hidden="1" customWidth="1" outlineLevel="1"/>
    <col min="9" max="9" width="6.83203125" hidden="1" customWidth="1" outlineLevel="1"/>
    <col min="10" max="10" width="7.6640625" bestFit="1" customWidth="1" collapsed="1"/>
    <col min="11" max="21" width="7.6640625" bestFit="1" customWidth="1"/>
    <col min="22" max="29" width="9.83203125" customWidth="1"/>
    <col min="37" max="37" width="3.83203125" customWidth="1"/>
    <col min="49" max="49" width="3.83203125" customWidth="1"/>
    <col min="116" max="116" width="4.83203125" customWidth="1"/>
  </cols>
  <sheetData>
    <row r="2" spans="3:21" x14ac:dyDescent="0.2">
      <c r="C2" s="267" t="s">
        <v>282</v>
      </c>
      <c r="D2" s="268">
        <f>Výkazy!I$3</f>
        <v>2007</v>
      </c>
      <c r="E2" s="268">
        <f>Výkazy!J$3</f>
        <v>2008</v>
      </c>
      <c r="F2" s="268">
        <f>Výkazy!K$3</f>
        <v>2009</v>
      </c>
      <c r="G2" s="268">
        <f>Výkazy!L$3</f>
        <v>2010</v>
      </c>
      <c r="H2" s="268">
        <f>Výkazy!M$3</f>
        <v>2011</v>
      </c>
      <c r="I2" s="268">
        <f>Výkazy!N$3</f>
        <v>2012</v>
      </c>
      <c r="J2" s="268">
        <f>Výkazy!O$3</f>
        <v>2013</v>
      </c>
      <c r="K2" s="268">
        <f>Výkazy!P$3</f>
        <v>2014</v>
      </c>
      <c r="L2" s="268">
        <f>Výkazy!Q$3</f>
        <v>2015</v>
      </c>
      <c r="M2" s="268">
        <f>Výkazy!R$3</f>
        <v>2016</v>
      </c>
      <c r="N2" s="268">
        <f>Výkazy!S$3</f>
        <v>2017</v>
      </c>
      <c r="O2" s="268">
        <f>Výkazy!T$3</f>
        <v>2018</v>
      </c>
      <c r="P2" s="268">
        <f>Výkazy!U$3</f>
        <v>2019</v>
      </c>
      <c r="Q2" s="268">
        <f>Výkazy!V$3</f>
        <v>2020</v>
      </c>
      <c r="R2" s="268">
        <f>Výkazy!W$3</f>
        <v>2021</v>
      </c>
      <c r="S2" s="268">
        <f>Výkazy!X$3</f>
        <v>2022</v>
      </c>
      <c r="T2" s="268">
        <f>Výkazy!Y$3</f>
        <v>2023</v>
      </c>
      <c r="U2" s="268">
        <f>Výkazy!Z$3</f>
        <v>2024</v>
      </c>
    </row>
    <row r="3" spans="3:21" x14ac:dyDescent="0.2">
      <c r="C3" s="345" t="s">
        <v>987</v>
      </c>
      <c r="D3" s="270">
        <f>Výkazy!I145</f>
        <v>4534</v>
      </c>
      <c r="E3" s="270">
        <f>Výkazy!J145</f>
        <v>14486</v>
      </c>
      <c r="F3" s="270">
        <f>Výkazy!K145</f>
        <v>24694.073769999992</v>
      </c>
      <c r="G3" s="270">
        <f>Výkazy!L145</f>
        <v>25059.034540000001</v>
      </c>
      <c r="H3" s="270">
        <f>Výkazy!M145</f>
        <v>36005.823239999983</v>
      </c>
      <c r="I3" s="270">
        <f>Výkazy!N145</f>
        <v>39471.542819999951</v>
      </c>
      <c r="J3" s="270">
        <f>Výkazy!O145</f>
        <v>83164.570869999938</v>
      </c>
      <c r="K3" s="270">
        <f>Výkazy!P145</f>
        <v>103304.29700000004</v>
      </c>
      <c r="L3" s="270">
        <f>Výkazy!Q145</f>
        <v>136768.54196999993</v>
      </c>
      <c r="M3" s="270">
        <f>Výkazy!R145</f>
        <v>148048.28695999994</v>
      </c>
      <c r="N3" s="270">
        <f>Výkazy!S145</f>
        <v>139164.21812999996</v>
      </c>
      <c r="O3" s="270">
        <f>Výkazy!T145</f>
        <v>153404.64738999997</v>
      </c>
      <c r="P3" s="270">
        <f>Výkazy!U145</f>
        <v>155086.98692000008</v>
      </c>
      <c r="Q3" s="270">
        <f>Výkazy!V145</f>
        <v>151054.85835999998</v>
      </c>
      <c r="R3" s="270">
        <f>Výkazy!W145</f>
        <v>151086.93193000002</v>
      </c>
      <c r="S3" s="270">
        <f>Výkazy!X145</f>
        <v>151281.90726000001</v>
      </c>
      <c r="T3" s="270">
        <f>Výkazy!Y145</f>
        <v>148922.34822000001</v>
      </c>
      <c r="U3" s="270">
        <f>Výkazy!Z145</f>
        <v>154074.76870999997</v>
      </c>
    </row>
    <row r="4" spans="3:21" x14ac:dyDescent="0.2">
      <c r="C4" s="345" t="s">
        <v>988</v>
      </c>
      <c r="D4" s="270">
        <f>Výkazy!I162</f>
        <v>44892</v>
      </c>
      <c r="E4" s="270">
        <f>Výkazy!J162</f>
        <v>59179</v>
      </c>
      <c r="F4" s="270">
        <f>Výkazy!K162</f>
        <v>61996.339850000004</v>
      </c>
      <c r="G4" s="270">
        <f>Výkazy!L162</f>
        <v>64333.786770000006</v>
      </c>
      <c r="H4" s="270">
        <f>Výkazy!M162</f>
        <v>65862.44550999999</v>
      </c>
      <c r="I4" s="270">
        <f>Výkazy!N162</f>
        <v>99221.526929999993</v>
      </c>
      <c r="J4" s="270">
        <f>Výkazy!O162</f>
        <v>98680.077019999997</v>
      </c>
      <c r="K4" s="270">
        <f>Výkazy!P162</f>
        <v>93360.04823</v>
      </c>
      <c r="L4" s="270">
        <f>Výkazy!Q162</f>
        <v>128245.99133999999</v>
      </c>
      <c r="M4" s="270">
        <f>Výkazy!R162</f>
        <v>157762.93130000003</v>
      </c>
      <c r="N4" s="270">
        <f>Výkazy!S162</f>
        <v>140831.81623</v>
      </c>
      <c r="O4" s="270">
        <f>Výkazy!T162</f>
        <v>105598.22673000001</v>
      </c>
      <c r="P4" s="270">
        <f>Výkazy!U162</f>
        <v>59423.881549999991</v>
      </c>
      <c r="Q4" s="270">
        <f>Výkazy!V162</f>
        <v>35701.828519999995</v>
      </c>
      <c r="R4" s="270">
        <f>Výkazy!W162</f>
        <v>166345.06956999999</v>
      </c>
      <c r="S4" s="270">
        <f>Výkazy!X162</f>
        <v>157668.37534999999</v>
      </c>
      <c r="T4" s="270">
        <f>Výkazy!Y162</f>
        <v>108695.3983</v>
      </c>
      <c r="U4" s="270">
        <f>Výkazy!Z162</f>
        <v>78238.411649999995</v>
      </c>
    </row>
    <row r="5" spans="3:21" ht="20.25" customHeight="1" x14ac:dyDescent="0.2">
      <c r="C5" s="346" t="s">
        <v>989</v>
      </c>
      <c r="D5" s="270">
        <f>Výkazy!I4+Výkazy!I7</f>
        <v>101675</v>
      </c>
      <c r="E5" s="270">
        <f>Výkazy!J4+Výkazy!J7</f>
        <v>146442</v>
      </c>
      <c r="F5" s="270">
        <f>Výkazy!K4+Výkazy!K7</f>
        <v>181052.37263999999</v>
      </c>
      <c r="G5" s="270">
        <f>Výkazy!L4+Výkazy!L7</f>
        <v>224579.17426</v>
      </c>
      <c r="H5" s="270">
        <f>Výkazy!M4+Výkazy!M7</f>
        <v>312176.34346</v>
      </c>
      <c r="I5" s="270">
        <f>Výkazy!N4+Výkazy!N7</f>
        <v>352763.65401999996</v>
      </c>
      <c r="J5" s="270">
        <f>Výkazy!O4+Výkazy!O7</f>
        <v>395822.54802999995</v>
      </c>
      <c r="K5" s="270">
        <f>Výkazy!P4+Výkazy!P7</f>
        <v>416605.38604000001</v>
      </c>
      <c r="L5" s="270">
        <f>Výkazy!Q4+Výkazy!Q7</f>
        <v>443030.99691999995</v>
      </c>
      <c r="M5" s="270">
        <f>Výkazy!R4+Výkazy!R7</f>
        <v>406108.14801999996</v>
      </c>
      <c r="N5" s="270">
        <f>Výkazy!S4+Výkazy!S7</f>
        <v>403064.01548</v>
      </c>
      <c r="O5" s="270">
        <f>Výkazy!T4+Výkazy!T7</f>
        <v>385874.04248</v>
      </c>
      <c r="P5" s="270">
        <f>Výkazy!U4+Výkazy!U7</f>
        <v>389927.51297000004</v>
      </c>
      <c r="Q5" s="270">
        <f>Výkazy!V4+Výkazy!V7</f>
        <v>270523.63186999998</v>
      </c>
      <c r="R5" s="270">
        <f>Výkazy!W4+Výkazy!W7</f>
        <v>294613.65986000001</v>
      </c>
      <c r="S5" s="270">
        <f>Výkazy!X4+Výkazy!X7</f>
        <v>297953.84255</v>
      </c>
      <c r="T5" s="270">
        <f>Výkazy!Y4+Výkazy!Y7</f>
        <v>286345.73436</v>
      </c>
      <c r="U5" s="270">
        <f>Výkazy!Z4+Výkazy!Z7</f>
        <v>208824.95981</v>
      </c>
    </row>
    <row r="6" spans="3:21" x14ac:dyDescent="0.2">
      <c r="C6" s="269" t="s">
        <v>5</v>
      </c>
      <c r="D6" s="270">
        <f>Výkazy!I6</f>
        <v>0</v>
      </c>
      <c r="E6" s="270">
        <f>Výkazy!J6</f>
        <v>0</v>
      </c>
      <c r="F6" s="270">
        <f>Výkazy!K6</f>
        <v>0</v>
      </c>
      <c r="G6" s="270">
        <f>Výkazy!L6</f>
        <v>-4.0369700000000002</v>
      </c>
      <c r="H6" s="270">
        <f>Výkazy!M6</f>
        <v>-54.584150000000001</v>
      </c>
      <c r="I6" s="270">
        <f>Výkazy!N6</f>
        <v>0</v>
      </c>
      <c r="J6" s="270">
        <f>Výkazy!O6</f>
        <v>0</v>
      </c>
      <c r="K6" s="270">
        <f>Výkazy!P6</f>
        <v>0</v>
      </c>
      <c r="L6" s="270">
        <f>Výkazy!Q6</f>
        <v>0</v>
      </c>
      <c r="M6" s="270">
        <f>Výkazy!R6</f>
        <v>0</v>
      </c>
      <c r="N6" s="270">
        <f>Výkazy!S6</f>
        <v>0</v>
      </c>
      <c r="O6" s="270">
        <f>Výkazy!T6</f>
        <v>0</v>
      </c>
      <c r="P6" s="270">
        <f>Výkazy!U6</f>
        <v>0</v>
      </c>
      <c r="Q6" s="270">
        <f>Výkazy!V6</f>
        <v>0</v>
      </c>
      <c r="R6" s="270">
        <f>Výkazy!W6</f>
        <v>0</v>
      </c>
      <c r="S6" s="270">
        <f>Výkazy!X6</f>
        <v>0</v>
      </c>
      <c r="T6" s="270">
        <f>Výkazy!Y6</f>
        <v>0</v>
      </c>
      <c r="U6" s="270">
        <f>Výkazy!Z6</f>
        <v>0</v>
      </c>
    </row>
    <row r="7" spans="3:21" x14ac:dyDescent="0.2">
      <c r="C7" s="345" t="s">
        <v>990</v>
      </c>
      <c r="D7" s="270">
        <f>Výkazy!I14</f>
        <v>15985</v>
      </c>
      <c r="E7" s="270">
        <f>Výkazy!J14</f>
        <v>25522</v>
      </c>
      <c r="F7" s="270">
        <f>Výkazy!K14</f>
        <v>28948.454839999991</v>
      </c>
      <c r="G7" s="270">
        <f>Výkazy!L14</f>
        <v>29002.66274</v>
      </c>
      <c r="H7" s="270">
        <f>Výkazy!M14</f>
        <v>60024.562019999983</v>
      </c>
      <c r="I7" s="270">
        <f>Výkazy!N14</f>
        <v>71886.905439999944</v>
      </c>
      <c r="J7" s="270">
        <f>Výkazy!O14</f>
        <v>105245.07349999994</v>
      </c>
      <c r="K7" s="270">
        <f>Výkazy!P14</f>
        <v>126358.09682000004</v>
      </c>
      <c r="L7" s="270">
        <f>Výkazy!Q14</f>
        <v>157520.52373999992</v>
      </c>
      <c r="M7" s="270">
        <f>Výkazy!R14</f>
        <v>175923.35196999996</v>
      </c>
      <c r="N7" s="270">
        <f>Výkazy!S14</f>
        <v>164838.30976999999</v>
      </c>
      <c r="O7" s="270">
        <f>Výkazy!T14</f>
        <v>173839.33655999997</v>
      </c>
      <c r="P7" s="270">
        <f>Výkazy!U14</f>
        <v>175532.74385000006</v>
      </c>
      <c r="Q7" s="270">
        <f>Výkazy!V14</f>
        <v>120834.96232999998</v>
      </c>
      <c r="R7" s="270">
        <f>Výkazy!W14</f>
        <v>131973.0583</v>
      </c>
      <c r="S7" s="270">
        <f>Výkazy!X14</f>
        <v>127644.27575999999</v>
      </c>
      <c r="T7" s="270">
        <f>Výkazy!Y14</f>
        <v>138180.31218000001</v>
      </c>
      <c r="U7" s="270">
        <f>Výkazy!Z14</f>
        <v>97591.451689999987</v>
      </c>
    </row>
    <row r="8" spans="3:21" ht="20.25" customHeight="1" x14ac:dyDescent="0.2">
      <c r="C8" s="346" t="s">
        <v>991</v>
      </c>
      <c r="D8" s="270">
        <f>Výkazy!I33</f>
        <v>588</v>
      </c>
      <c r="E8" s="270">
        <f>Výkazy!J33</f>
        <v>10799</v>
      </c>
      <c r="F8" s="270">
        <f>Výkazy!K33</f>
        <v>14843.878549999992</v>
      </c>
      <c r="G8" s="270">
        <f>Výkazy!L33</f>
        <v>2373.5681700000014</v>
      </c>
      <c r="H8" s="270">
        <f>Výkazy!M33</f>
        <v>12882.522719999983</v>
      </c>
      <c r="I8" s="270">
        <f>Výkazy!N33</f>
        <v>6704.6256699999522</v>
      </c>
      <c r="J8" s="270">
        <f>Výkazy!O33</f>
        <v>19633.112739999942</v>
      </c>
      <c r="K8" s="270">
        <f>Výkazy!P33</f>
        <v>25670.98935000004</v>
      </c>
      <c r="L8" s="270">
        <f>Výkazy!Q33</f>
        <v>35980.43383999994</v>
      </c>
      <c r="M8" s="270">
        <f>Výkazy!R33</f>
        <v>15091.864479999942</v>
      </c>
      <c r="N8" s="270">
        <f>Výkazy!S33</f>
        <v>7561.3615199999886</v>
      </c>
      <c r="O8" s="270">
        <f>Výkazy!T33</f>
        <v>18317.057949999977</v>
      </c>
      <c r="P8" s="270">
        <f>Výkazy!U33</f>
        <v>22556.758780000069</v>
      </c>
      <c r="Q8" s="270">
        <f>Výkazy!V33</f>
        <v>-1158.3997500000301</v>
      </c>
      <c r="R8" s="270">
        <f>Výkazy!W33</f>
        <v>50.348630000005869</v>
      </c>
      <c r="S8" s="270">
        <f>Výkazy!X33</f>
        <v>1299.2887499999861</v>
      </c>
      <c r="T8" s="270">
        <f>Výkazy!Y33</f>
        <v>4838.4018200000019</v>
      </c>
      <c r="U8" s="270">
        <f>Výkazy!Z33</f>
        <v>17070.23696999998</v>
      </c>
    </row>
    <row r="9" spans="3:21" ht="18.75" customHeight="1" x14ac:dyDescent="0.2">
      <c r="C9" s="346" t="s">
        <v>993</v>
      </c>
      <c r="D9" s="270">
        <f>Výkazy!I64</f>
        <v>135</v>
      </c>
      <c r="E9" s="270">
        <f>Výkazy!J64</f>
        <v>12656</v>
      </c>
      <c r="F9" s="270">
        <f>Výkazy!K64</f>
        <v>12792.519999999993</v>
      </c>
      <c r="G9" s="270">
        <f>Výkazy!L64</f>
        <v>437.72077000000218</v>
      </c>
      <c r="H9" s="270">
        <f>Výkazy!M64</f>
        <v>13630.588699999982</v>
      </c>
      <c r="I9" s="270">
        <f>Výkazy!N64</f>
        <v>4291.0395799999515</v>
      </c>
      <c r="J9" s="270">
        <f>Výkazy!O64</f>
        <v>21870.748049999944</v>
      </c>
      <c r="K9" s="270">
        <f>Výkazy!P64</f>
        <v>24952.726130000039</v>
      </c>
      <c r="L9" s="270">
        <f>Výkazy!Q64</f>
        <v>33930.464969999943</v>
      </c>
      <c r="M9" s="270">
        <f>Výkazy!R64</f>
        <v>13948.207349999942</v>
      </c>
      <c r="N9" s="270">
        <f>Výkazy!S64</f>
        <v>6426.884079999988</v>
      </c>
      <c r="O9" s="270">
        <f>Výkazy!T64</f>
        <v>17725.823049999974</v>
      </c>
      <c r="P9" s="270">
        <f>Výkazy!U64</f>
        <v>21062.87077000007</v>
      </c>
      <c r="Q9" s="270">
        <f>Výkazy!V64</f>
        <v>1039.8309599999702</v>
      </c>
      <c r="R9" s="270">
        <f>Výkazy!W64</f>
        <v>130.59229000000619</v>
      </c>
      <c r="S9" s="270">
        <f>Výkazy!X64</f>
        <v>300.68518999998685</v>
      </c>
      <c r="T9" s="270">
        <f>Výkazy!Y64</f>
        <v>5719.8669800000016</v>
      </c>
      <c r="U9" s="270">
        <f>Výkazy!Z64</f>
        <v>16917.126489999981</v>
      </c>
    </row>
    <row r="10" spans="3:21" ht="18" customHeight="1" x14ac:dyDescent="0.2">
      <c r="C10" s="346" t="s">
        <v>992</v>
      </c>
      <c r="D10" s="270">
        <f>Výkazy!I63</f>
        <v>90</v>
      </c>
      <c r="E10" s="270">
        <f>Výkazy!J63</f>
        <v>9952</v>
      </c>
      <c r="F10" s="270">
        <f>Výkazy!K63</f>
        <v>10207.319999999992</v>
      </c>
      <c r="G10" s="270">
        <f>Výkazy!L63</f>
        <v>364.96077000000219</v>
      </c>
      <c r="H10" s="270">
        <f>Výkazy!M63</f>
        <v>10946.788699999983</v>
      </c>
      <c r="I10" s="270">
        <f>Výkazy!N63</f>
        <v>3465.7195799999513</v>
      </c>
      <c r="J10" s="270">
        <f>Výkazy!O63</f>
        <v>17693.028049999943</v>
      </c>
      <c r="K10" s="270">
        <f>Výkazy!P63</f>
        <v>20139.726130000039</v>
      </c>
      <c r="L10" s="270">
        <f>Výkazy!Q63</f>
        <v>27464.244969999942</v>
      </c>
      <c r="M10" s="270">
        <f>Výkazy!R63</f>
        <v>11279.744989999943</v>
      </c>
      <c r="N10" s="270">
        <f>Výkazy!S63</f>
        <v>5126.2751699999881</v>
      </c>
      <c r="O10" s="270">
        <f>Výkazy!T63</f>
        <v>14240.429259999974</v>
      </c>
      <c r="P10" s="270">
        <f>Výkazy!U63</f>
        <v>16820.641300000072</v>
      </c>
      <c r="Q10" s="270">
        <f>Výkazy!V63</f>
        <v>834.29391999997017</v>
      </c>
      <c r="R10" s="270">
        <f>Výkazy!W63</f>
        <v>32.101570000006177</v>
      </c>
      <c r="S10" s="270">
        <f>Výkazy!X63</f>
        <v>194.97532999998685</v>
      </c>
      <c r="T10" s="270">
        <f>Výkazy!Y63</f>
        <v>4640.4409600000017</v>
      </c>
      <c r="U10" s="270">
        <f>Výkazy!Z63</f>
        <v>16917.126489999981</v>
      </c>
    </row>
    <row r="11" spans="3:21" x14ac:dyDescent="0.2">
      <c r="C11" s="269" t="s">
        <v>133</v>
      </c>
      <c r="D11" s="270"/>
      <c r="E11" s="270">
        <f>Výkazy!J236</f>
        <v>4905</v>
      </c>
      <c r="F11" s="270">
        <f>Výkazy!K236</f>
        <v>4220.047759999994</v>
      </c>
      <c r="G11" s="270">
        <f>Výkazy!L236</f>
        <v>4396.6247499999972</v>
      </c>
      <c r="H11" s="270">
        <f>Výkazy!M236</f>
        <v>6084.2079999999814</v>
      </c>
      <c r="I11" s="270">
        <f>Výkazy!N236</f>
        <v>16922.777229999945</v>
      </c>
      <c r="J11" s="270">
        <f>Výkazy!O236</f>
        <v>10129.837259999917</v>
      </c>
      <c r="K11" s="270">
        <f>Výkazy!P236</f>
        <v>13214.852810000057</v>
      </c>
      <c r="L11" s="270">
        <f>Výkazy!Q236</f>
        <v>13850.60701999997</v>
      </c>
      <c r="M11" s="270">
        <f>Výkazy!R236</f>
        <v>16426.45942999989</v>
      </c>
      <c r="N11" s="270">
        <f>Výkazy!S236</f>
        <v>64928.173559999981</v>
      </c>
      <c r="O11" s="270">
        <f>Výkazy!T236</f>
        <v>-16003.475330000041</v>
      </c>
      <c r="P11" s="270">
        <f>Výkazy!U236</f>
        <v>40182.615130000049</v>
      </c>
      <c r="Q11" s="270">
        <f>Výkazy!V236</f>
        <v>32150.516449999977</v>
      </c>
      <c r="R11" s="270">
        <f>Výkazy!W236</f>
        <v>30844.191479999983</v>
      </c>
      <c r="S11" s="270">
        <f>Výkazy!X236</f>
        <v>28864.499700000004</v>
      </c>
      <c r="T11" s="270">
        <f>Výkazy!Y236</f>
        <v>42044.465880000003</v>
      </c>
      <c r="U11" s="270">
        <f>Výkazy!Z236</f>
        <v>33138.881769999964</v>
      </c>
    </row>
    <row r="12" spans="3:21" x14ac:dyDescent="0.2">
      <c r="C12" s="269" t="s">
        <v>134</v>
      </c>
      <c r="D12" s="270"/>
      <c r="E12" s="270">
        <f>Výkazy!J235</f>
        <v>2788</v>
      </c>
      <c r="F12" s="270">
        <f>Výkazy!K235</f>
        <v>-336.95224000000599</v>
      </c>
      <c r="G12" s="270">
        <f>Výkazy!L235</f>
        <v>474.1932199999975</v>
      </c>
      <c r="H12" s="270">
        <f>Výkazy!M235</f>
        <v>1742.4132499999816</v>
      </c>
      <c r="I12" s="270">
        <f>Výkazy!N235</f>
        <v>11238.569229999946</v>
      </c>
      <c r="J12" s="270">
        <f>Výkazy!O235</f>
        <v>-6792.9399700000831</v>
      </c>
      <c r="K12" s="270">
        <f>Výkazy!P235</f>
        <v>3085.0155500000565</v>
      </c>
      <c r="L12" s="270">
        <f>Výkazy!Q235</f>
        <v>635.75420999997004</v>
      </c>
      <c r="M12" s="270">
        <f>Výkazy!R235</f>
        <v>2575.8524099998904</v>
      </c>
      <c r="N12" s="270">
        <f>Výkazy!S235</f>
        <v>49306.714129999986</v>
      </c>
      <c r="O12" s="270">
        <f>Výkazy!T235</f>
        <v>-41060.22899000004</v>
      </c>
      <c r="P12" s="270">
        <f>Výkazy!U235</f>
        <v>14314.470670000053</v>
      </c>
      <c r="Q12" s="270">
        <f>Výkazy!V235</f>
        <v>-3059.0310200000204</v>
      </c>
      <c r="R12" s="270">
        <f>Výkazy!W235</f>
        <v>2735.4769099999839</v>
      </c>
      <c r="S12" s="270">
        <f>Výkazy!X235</f>
        <v>-518.24940999999762</v>
      </c>
      <c r="T12" s="270">
        <f>Výkazy!Y235</f>
        <v>15856.944180000006</v>
      </c>
      <c r="U12" s="270">
        <f>Výkazy!Z235</f>
        <v>-564.63279000004195</v>
      </c>
    </row>
    <row r="13" spans="3:21" x14ac:dyDescent="0.2">
      <c r="C13" s="269" t="s">
        <v>74</v>
      </c>
      <c r="D13" s="270">
        <f>Výkazy!I122</f>
        <v>25673</v>
      </c>
      <c r="E13" s="270">
        <f>Výkazy!J122</f>
        <v>41712</v>
      </c>
      <c r="F13" s="270">
        <f>Výkazy!K122</f>
        <v>52925.551119999996</v>
      </c>
      <c r="G13" s="270">
        <f>Výkazy!L122</f>
        <v>53069.635750000001</v>
      </c>
      <c r="H13" s="270">
        <f>Výkazy!M122</f>
        <v>58134.48762</v>
      </c>
      <c r="I13" s="270">
        <f>Výkazy!N122</f>
        <v>52863.096610000001</v>
      </c>
      <c r="J13" s="270">
        <f>Výkazy!O122</f>
        <v>72100.200710000005</v>
      </c>
      <c r="K13" s="270">
        <f>Výkazy!P122</f>
        <v>61982.356130000007</v>
      </c>
      <c r="L13" s="270">
        <f>Výkazy!Q122</f>
        <v>77275.591959999991</v>
      </c>
      <c r="M13" s="270">
        <f>Výkazy!R122</f>
        <v>65473.125039999999</v>
      </c>
      <c r="N13" s="270">
        <f>Výkazy!S122</f>
        <v>80024.036560000008</v>
      </c>
      <c r="O13" s="270">
        <f>Výkazy!T122</f>
        <v>92146.56276999999</v>
      </c>
      <c r="P13" s="270">
        <f>Výkazy!U122</f>
        <v>59598.759140000002</v>
      </c>
      <c r="Q13" s="270">
        <f>Výkazy!V122</f>
        <v>62148.340620000003</v>
      </c>
      <c r="R13" s="270">
        <f>Výkazy!W122</f>
        <v>58477.154419999999</v>
      </c>
      <c r="S13" s="270">
        <f>Výkazy!X122</f>
        <v>76014.62298</v>
      </c>
      <c r="T13" s="270">
        <f>Výkazy!Y122</f>
        <v>64077.716619999999</v>
      </c>
      <c r="U13" s="270">
        <f>Výkazy!Z122</f>
        <v>51803.684669999995</v>
      </c>
    </row>
    <row r="14" spans="3:21" x14ac:dyDescent="0.2">
      <c r="C14" s="269" t="s">
        <v>245</v>
      </c>
      <c r="D14" s="270">
        <f>Výkazy!I179+Výkazy!I193+Výkazy!I194</f>
        <v>31182</v>
      </c>
      <c r="E14" s="270">
        <f>Výkazy!J179+Výkazy!J193+Výkazy!J194</f>
        <v>45019</v>
      </c>
      <c r="F14" s="270">
        <f>Výkazy!K179+Výkazy!K193+Výkazy!K194</f>
        <v>51700.92972</v>
      </c>
      <c r="G14" s="270">
        <f>Výkazy!L179+Výkazy!L193+Výkazy!L194</f>
        <v>58807.897950000006</v>
      </c>
      <c r="H14" s="270">
        <f>Výkazy!M179+Výkazy!M193+Výkazy!M194</f>
        <v>62229.237909999996</v>
      </c>
      <c r="I14" s="270">
        <f>Výkazy!N179+Výkazy!N193+Výkazy!N194</f>
        <v>66239.821319999988</v>
      </c>
      <c r="J14" s="270">
        <f>Výkazy!O179+Výkazy!O193+Výkazy!O194</f>
        <v>89101.73311999999</v>
      </c>
      <c r="K14" s="270">
        <f>Výkazy!P179+Výkazy!P193+Výkazy!P194</f>
        <v>91518.37460000001</v>
      </c>
      <c r="L14" s="270">
        <f>Výkazy!Q179+Výkazy!Q193+Výkazy!Q194</f>
        <v>89765.57974999999</v>
      </c>
      <c r="M14" s="270">
        <f>Výkazy!R179+Výkazy!R193+Výkazy!R194</f>
        <v>77159.522290000008</v>
      </c>
      <c r="N14" s="270">
        <f>Výkazy!S179+Výkazy!S193+Výkazy!S194</f>
        <v>95460.683499999999</v>
      </c>
      <c r="O14" s="270">
        <f>Výkazy!T179+Výkazy!T193+Výkazy!T194</f>
        <v>64109.596020000005</v>
      </c>
      <c r="P14" s="270">
        <f>Výkazy!U179+Výkazy!U193+Výkazy!U194</f>
        <v>37151.282599999999</v>
      </c>
      <c r="Q14" s="270">
        <f>Výkazy!V179+Výkazy!V193+Výkazy!V194</f>
        <v>28876.846419999998</v>
      </c>
      <c r="R14" s="270">
        <f>Výkazy!W179+Výkazy!W193+Výkazy!W194</f>
        <v>44899.934880000001</v>
      </c>
      <c r="S14" s="270">
        <f>Výkazy!X179+Výkazy!X193+Výkazy!X194</f>
        <v>49038.807090000002</v>
      </c>
      <c r="T14" s="270">
        <f>Výkazy!Y179+Výkazy!Y193+Výkazy!Y194</f>
        <v>22722.22091</v>
      </c>
      <c r="U14" s="270">
        <f>Výkazy!Z179+Výkazy!Z193+Výkazy!Z194</f>
        <v>12682.91106</v>
      </c>
    </row>
    <row r="15" spans="3:21" x14ac:dyDescent="0.2">
      <c r="C15" s="269" t="s">
        <v>310</v>
      </c>
      <c r="D15" s="271">
        <f>5*(Výkazy!I63+Výkazy!I21)</f>
        <v>11495</v>
      </c>
      <c r="E15" s="271">
        <f>5*(Výkazy!J63+Výkazy!J21)</f>
        <v>64260</v>
      </c>
      <c r="F15" s="271">
        <f>5*(Výkazy!K63+Výkazy!K21)</f>
        <v>76209.680499999959</v>
      </c>
      <c r="G15" s="271">
        <f>5*(Výkazy!L63+Výkazy!L21)</f>
        <v>37591.353850000014</v>
      </c>
      <c r="H15" s="271">
        <f>5*(Výkazy!M63+Výkazy!M21)</f>
        <v>116722.9103499999</v>
      </c>
      <c r="I15" s="271">
        <f>5*(Výkazy!N63+Výkazy!N21)</f>
        <v>144299.29284999974</v>
      </c>
      <c r="J15" s="271">
        <f>5*(Výkazy!O63+Výkazy!O21)</f>
        <v>293491.48474999971</v>
      </c>
      <c r="K15" s="271">
        <f>5*(Výkazy!P63+Výkazy!P21)</f>
        <v>351429.31585000019</v>
      </c>
      <c r="L15" s="271">
        <f>5*(Výkazy!Q63+Výkazy!Q21)</f>
        <v>480893.07054999971</v>
      </c>
      <c r="M15" s="271">
        <f>5*(Výkazy!R63+Výkazy!R21)</f>
        <v>523983.15514999977</v>
      </c>
      <c r="N15" s="271">
        <f>5*(Výkazy!S63+Výkazy!S21)</f>
        <v>488313.48399999994</v>
      </c>
      <c r="O15" s="271">
        <f>5*(Výkazy!T63+Výkazy!T21)</f>
        <v>470286.76489999983</v>
      </c>
      <c r="P15" s="271">
        <f>5*(Výkazy!U63+Výkazy!U21)</f>
        <v>433278.37860000035</v>
      </c>
      <c r="Q15" s="271">
        <f>5*(Výkazy!V63+Výkazy!V21)</f>
        <v>243072.51204999984</v>
      </c>
      <c r="R15" s="271">
        <f>5*(Výkazy!W63+Výkazy!W21)</f>
        <v>241112.51610000004</v>
      </c>
      <c r="S15" s="271">
        <f>5*(Výkazy!X63+Výkazy!X21)</f>
        <v>198731.67029999994</v>
      </c>
      <c r="T15" s="271">
        <f>5*(Výkazy!Y63+Výkazy!Y21)</f>
        <v>290465.48620000004</v>
      </c>
      <c r="U15" s="271">
        <f>5*(Výkazy!Z63+Výkazy!Z21)</f>
        <v>145284.2576999999</v>
      </c>
    </row>
    <row r="16" spans="3:21" x14ac:dyDescent="0.2">
      <c r="C16" s="269" t="s">
        <v>266</v>
      </c>
      <c r="D16" s="271">
        <v>0</v>
      </c>
      <c r="E16" s="271">
        <v>0</v>
      </c>
      <c r="F16" s="271">
        <v>0</v>
      </c>
      <c r="G16" s="271">
        <v>0</v>
      </c>
      <c r="H16" s="271">
        <v>0</v>
      </c>
      <c r="I16" s="271">
        <v>0</v>
      </c>
      <c r="J16" s="271">
        <v>0</v>
      </c>
      <c r="K16" s="271">
        <v>0</v>
      </c>
      <c r="L16" s="271">
        <v>0</v>
      </c>
      <c r="M16" s="271">
        <v>0</v>
      </c>
      <c r="N16" s="271">
        <v>0</v>
      </c>
      <c r="O16" s="271">
        <v>0</v>
      </c>
      <c r="P16" s="271">
        <v>0</v>
      </c>
      <c r="Q16" s="271">
        <v>0</v>
      </c>
      <c r="R16" s="271">
        <v>0</v>
      </c>
      <c r="S16" s="271">
        <v>0</v>
      </c>
      <c r="T16" s="271">
        <v>0</v>
      </c>
      <c r="U16" s="271">
        <v>0</v>
      </c>
    </row>
    <row r="17" spans="3:23" x14ac:dyDescent="0.2">
      <c r="C17" s="345" t="s">
        <v>994</v>
      </c>
      <c r="D17" s="270">
        <f>Výkazy!I75</f>
        <v>49426</v>
      </c>
      <c r="E17" s="270">
        <f>Výkazy!J75</f>
        <v>73665</v>
      </c>
      <c r="F17" s="270">
        <f>Výkazy!K75</f>
        <v>87129.921360000008</v>
      </c>
      <c r="G17" s="270">
        <f>Výkazy!L75</f>
        <v>89499.517160000003</v>
      </c>
      <c r="H17" s="270">
        <f>Výkazy!M75</f>
        <v>101934.29629</v>
      </c>
      <c r="I17" s="270">
        <f>Výkazy!N75</f>
        <v>138704.02220000001</v>
      </c>
      <c r="J17" s="270">
        <f>Výkazy!O75</f>
        <v>181861.67882</v>
      </c>
      <c r="K17" s="270">
        <f>Výkazy!P75</f>
        <v>196712.00930000001</v>
      </c>
      <c r="L17" s="270">
        <f>Výkazy!Q75</f>
        <v>265014.53330999997</v>
      </c>
      <c r="M17" s="270">
        <f>Výkazy!R75</f>
        <v>305846.13731000002</v>
      </c>
      <c r="N17" s="270">
        <f>Výkazy!S75</f>
        <v>280447.85970999999</v>
      </c>
      <c r="O17" s="270">
        <f>Výkazy!T75</f>
        <v>264514.18481000001</v>
      </c>
      <c r="P17" s="270">
        <f>Výkazy!U75</f>
        <v>214822.74925999998</v>
      </c>
      <c r="Q17" s="270">
        <f>Výkazy!V75</f>
        <v>187804.15964</v>
      </c>
      <c r="R17" s="270">
        <f>Výkazy!W75</f>
        <v>318492.73156999995</v>
      </c>
      <c r="S17" s="270">
        <f>Výkazy!X75</f>
        <v>310269.47956000007</v>
      </c>
      <c r="T17" s="270">
        <f>Výkazy!Y75</f>
        <v>259228.00269999998</v>
      </c>
      <c r="U17" s="270">
        <f>Výkazy!Z75</f>
        <v>232312.19462999998</v>
      </c>
    </row>
    <row r="18" spans="3:23" x14ac:dyDescent="0.2">
      <c r="C18" s="269" t="s">
        <v>577</v>
      </c>
      <c r="D18" s="272">
        <f>D3/D17</f>
        <v>9.1733095941407355E-2</v>
      </c>
      <c r="E18" s="272">
        <f t="shared" ref="E18:L18" si="0">E3/E17</f>
        <v>0.19664698296341546</v>
      </c>
      <c r="F18" s="272">
        <f t="shared" si="0"/>
        <v>0.28341668837241324</v>
      </c>
      <c r="G18" s="272">
        <f t="shared" si="0"/>
        <v>0.27999072324827723</v>
      </c>
      <c r="H18" s="272">
        <f t="shared" si="0"/>
        <v>0.35322579887699918</v>
      </c>
      <c r="I18" s="272">
        <f t="shared" si="0"/>
        <v>0.28457388757685176</v>
      </c>
      <c r="J18" s="272">
        <f t="shared" si="0"/>
        <v>0.45729573932017403</v>
      </c>
      <c r="K18" s="272">
        <f t="shared" si="0"/>
        <v>0.52515500892705302</v>
      </c>
      <c r="L18" s="272">
        <f t="shared" si="0"/>
        <v>0.51607940237004035</v>
      </c>
      <c r="M18" s="272">
        <f t="shared" ref="M18:N18" si="1">M3/M17</f>
        <v>0.48406132659423101</v>
      </c>
      <c r="N18" s="272">
        <f t="shared" si="1"/>
        <v>0.49622135919990318</v>
      </c>
      <c r="O18" s="272">
        <f t="shared" ref="O18:P18" si="2">O3/O17</f>
        <v>0.57994866135511869</v>
      </c>
      <c r="P18" s="272">
        <f t="shared" si="2"/>
        <v>0.72192999789001999</v>
      </c>
      <c r="Q18" s="272">
        <f t="shared" ref="Q18:R18" si="3">Q3/Q17</f>
        <v>0.80432115374630464</v>
      </c>
      <c r="R18" s="272">
        <f t="shared" si="3"/>
        <v>0.47438109869955813</v>
      </c>
      <c r="S18" s="272">
        <f t="shared" ref="S18:T18" si="4">S3/S17</f>
        <v>0.48758230256658242</v>
      </c>
      <c r="T18" s="272">
        <f t="shared" si="4"/>
        <v>0.57448403208331333</v>
      </c>
      <c r="U18" s="272">
        <f t="shared" ref="U18" si="5">U3/U17</f>
        <v>0.66322290551898255</v>
      </c>
    </row>
    <row r="19" spans="3:23" x14ac:dyDescent="0.2">
      <c r="C19" s="273"/>
      <c r="D19" s="273"/>
      <c r="E19" s="273"/>
      <c r="F19" s="273"/>
      <c r="G19" s="273"/>
      <c r="H19" s="273"/>
      <c r="I19" s="273"/>
      <c r="J19" s="273"/>
      <c r="K19" s="273"/>
      <c r="L19" s="273"/>
      <c r="M19" s="273"/>
      <c r="N19" s="273"/>
      <c r="O19" s="273"/>
      <c r="P19" s="273"/>
      <c r="Q19" s="273"/>
      <c r="R19" s="273"/>
      <c r="S19" s="273"/>
      <c r="T19" s="273"/>
      <c r="U19" s="273"/>
    </row>
    <row r="20" spans="3:23" x14ac:dyDescent="0.2">
      <c r="C20" s="267" t="s">
        <v>283</v>
      </c>
      <c r="D20" s="268">
        <f>Výkazy!I$3</f>
        <v>2007</v>
      </c>
      <c r="E20" s="268">
        <f>Výkazy!J$3</f>
        <v>2008</v>
      </c>
      <c r="F20" s="268">
        <f>Výkazy!K$3</f>
        <v>2009</v>
      </c>
      <c r="G20" s="268">
        <f>Výkazy!L$3</f>
        <v>2010</v>
      </c>
      <c r="H20" s="268">
        <f>Výkazy!M$3</f>
        <v>2011</v>
      </c>
      <c r="I20" s="268">
        <f>Výkazy!N$3</f>
        <v>2012</v>
      </c>
      <c r="J20" s="268">
        <f>Výkazy!O$3</f>
        <v>2013</v>
      </c>
      <c r="K20" s="268">
        <f>Výkazy!P$3</f>
        <v>2014</v>
      </c>
      <c r="L20" s="268">
        <f>Výkazy!Q$3</f>
        <v>2015</v>
      </c>
      <c r="M20" s="268">
        <f>Výkazy!R$3</f>
        <v>2016</v>
      </c>
      <c r="N20" s="268">
        <f>Výkazy!S$3</f>
        <v>2017</v>
      </c>
      <c r="O20" s="268">
        <f>Výkazy!T$3</f>
        <v>2018</v>
      </c>
      <c r="P20" s="268">
        <f>Výkazy!U$3</f>
        <v>2019</v>
      </c>
      <c r="Q20" s="268">
        <f>Výkazy!V$3</f>
        <v>2020</v>
      </c>
      <c r="R20" s="268">
        <f>Výkazy!W$3</f>
        <v>2021</v>
      </c>
      <c r="S20" s="268">
        <f>Výkazy!X$3</f>
        <v>2022</v>
      </c>
      <c r="T20" s="268">
        <f>Výkazy!Y$3</f>
        <v>2023</v>
      </c>
      <c r="U20" s="268">
        <f>Výkazy!Z$3</f>
        <v>2024</v>
      </c>
    </row>
    <row r="21" spans="3:23" ht="22.5" customHeight="1" x14ac:dyDescent="0.2">
      <c r="C21" s="346" t="s">
        <v>989</v>
      </c>
      <c r="D21" s="270">
        <f t="shared" ref="D21:I21" si="6">D5</f>
        <v>101675</v>
      </c>
      <c r="E21" s="270">
        <f t="shared" si="6"/>
        <v>146442</v>
      </c>
      <c r="F21" s="270">
        <f t="shared" si="6"/>
        <v>181052.37263999999</v>
      </c>
      <c r="G21" s="270">
        <f t="shared" si="6"/>
        <v>224579.17426</v>
      </c>
      <c r="H21" s="270">
        <f t="shared" si="6"/>
        <v>312176.34346</v>
      </c>
      <c r="I21" s="270">
        <f t="shared" si="6"/>
        <v>352763.65401999996</v>
      </c>
      <c r="J21" s="270">
        <f t="shared" ref="J21:K21" si="7">J5</f>
        <v>395822.54802999995</v>
      </c>
      <c r="K21" s="270">
        <f t="shared" si="7"/>
        <v>416605.38604000001</v>
      </c>
      <c r="L21" s="270">
        <f t="shared" ref="L21:M21" si="8">L5</f>
        <v>443030.99691999995</v>
      </c>
      <c r="M21" s="270">
        <f t="shared" si="8"/>
        <v>406108.14801999996</v>
      </c>
      <c r="N21" s="270">
        <f t="shared" ref="N21:O21" si="9">N5</f>
        <v>403064.01548</v>
      </c>
      <c r="O21" s="270">
        <f t="shared" si="9"/>
        <v>385874.04248</v>
      </c>
      <c r="P21" s="270">
        <f t="shared" ref="P21:Q21" si="10">P5</f>
        <v>389927.51297000004</v>
      </c>
      <c r="Q21" s="270">
        <f t="shared" si="10"/>
        <v>270523.63186999998</v>
      </c>
      <c r="R21" s="270">
        <f t="shared" ref="R21:S21" si="11">R5</f>
        <v>294613.65986000001</v>
      </c>
      <c r="S21" s="270">
        <f t="shared" si="11"/>
        <v>297953.84255</v>
      </c>
      <c r="T21" s="270">
        <f t="shared" ref="T21:U21" si="12">T5</f>
        <v>286345.73436</v>
      </c>
      <c r="U21" s="270">
        <f t="shared" si="12"/>
        <v>208824.95981</v>
      </c>
      <c r="W21" s="347"/>
    </row>
    <row r="22" spans="3:23" x14ac:dyDescent="0.2">
      <c r="C22" s="345" t="s">
        <v>990</v>
      </c>
      <c r="D22" s="270">
        <f t="shared" ref="D22:I23" si="13">D7</f>
        <v>15985</v>
      </c>
      <c r="E22" s="270">
        <f t="shared" si="13"/>
        <v>25522</v>
      </c>
      <c r="F22" s="270">
        <f t="shared" si="13"/>
        <v>28948.454839999991</v>
      </c>
      <c r="G22" s="270">
        <f t="shared" si="13"/>
        <v>29002.66274</v>
      </c>
      <c r="H22" s="270">
        <f t="shared" si="13"/>
        <v>60024.562019999983</v>
      </c>
      <c r="I22" s="270">
        <f t="shared" si="13"/>
        <v>71886.905439999944</v>
      </c>
      <c r="J22" s="270">
        <f t="shared" ref="J22:K22" si="14">J7</f>
        <v>105245.07349999994</v>
      </c>
      <c r="K22" s="270">
        <f t="shared" si="14"/>
        <v>126358.09682000004</v>
      </c>
      <c r="L22" s="270">
        <f t="shared" ref="L22:M22" si="15">L7</f>
        <v>157520.52373999992</v>
      </c>
      <c r="M22" s="270">
        <f t="shared" si="15"/>
        <v>175923.35196999996</v>
      </c>
      <c r="N22" s="270">
        <f t="shared" ref="N22:O22" si="16">N7</f>
        <v>164838.30976999999</v>
      </c>
      <c r="O22" s="270">
        <f t="shared" si="16"/>
        <v>173839.33655999997</v>
      </c>
      <c r="P22" s="270">
        <f t="shared" ref="P22:Q22" si="17">P7</f>
        <v>175532.74385000006</v>
      </c>
      <c r="Q22" s="270">
        <f t="shared" si="17"/>
        <v>120834.96232999998</v>
      </c>
      <c r="R22" s="270">
        <f t="shared" ref="R22:S22" si="18">R7</f>
        <v>131973.0583</v>
      </c>
      <c r="S22" s="270">
        <f t="shared" si="18"/>
        <v>127644.27575999999</v>
      </c>
      <c r="T22" s="270">
        <f t="shared" ref="T22:U22" si="19">T7</f>
        <v>138180.31218000001</v>
      </c>
      <c r="U22" s="270">
        <f t="shared" si="19"/>
        <v>97591.451689999987</v>
      </c>
    </row>
    <row r="23" spans="3:23" ht="17.25" x14ac:dyDescent="0.2">
      <c r="C23" s="346" t="s">
        <v>991</v>
      </c>
      <c r="D23" s="270">
        <f t="shared" si="13"/>
        <v>588</v>
      </c>
      <c r="E23" s="270">
        <f t="shared" si="13"/>
        <v>10799</v>
      </c>
      <c r="F23" s="270">
        <f t="shared" si="13"/>
        <v>14843.878549999992</v>
      </c>
      <c r="G23" s="270">
        <f t="shared" si="13"/>
        <v>2373.5681700000014</v>
      </c>
      <c r="H23" s="270">
        <f t="shared" si="13"/>
        <v>12882.522719999983</v>
      </c>
      <c r="I23" s="270">
        <f t="shared" si="13"/>
        <v>6704.6256699999522</v>
      </c>
      <c r="J23" s="270">
        <f t="shared" ref="J23:K23" si="20">J8</f>
        <v>19633.112739999942</v>
      </c>
      <c r="K23" s="270">
        <f t="shared" si="20"/>
        <v>25670.98935000004</v>
      </c>
      <c r="L23" s="270">
        <f t="shared" ref="L23:M23" si="21">L8</f>
        <v>35980.43383999994</v>
      </c>
      <c r="M23" s="270">
        <f t="shared" si="21"/>
        <v>15091.864479999942</v>
      </c>
      <c r="N23" s="270">
        <f t="shared" ref="N23:O23" si="22">N8</f>
        <v>7561.3615199999886</v>
      </c>
      <c r="O23" s="270">
        <f t="shared" si="22"/>
        <v>18317.057949999977</v>
      </c>
      <c r="P23" s="270">
        <f t="shared" ref="P23:Q23" si="23">P8</f>
        <v>22556.758780000069</v>
      </c>
      <c r="Q23" s="270">
        <f t="shared" si="23"/>
        <v>-1158.3997500000301</v>
      </c>
      <c r="R23" s="270">
        <f t="shared" ref="R23:S23" si="24">R8</f>
        <v>50.348630000005869</v>
      </c>
      <c r="S23" s="270">
        <f t="shared" si="24"/>
        <v>1299.2887499999861</v>
      </c>
      <c r="T23" s="270">
        <f t="shared" ref="T23:U23" si="25">T8</f>
        <v>4838.4018200000019</v>
      </c>
      <c r="U23" s="317">
        <f t="shared" si="25"/>
        <v>17070.23696999998</v>
      </c>
    </row>
    <row r="24" spans="3:23" ht="17.25" x14ac:dyDescent="0.2">
      <c r="C24" s="346" t="s">
        <v>992</v>
      </c>
      <c r="D24" s="270">
        <f t="shared" ref="D24:I24" si="26">D10</f>
        <v>90</v>
      </c>
      <c r="E24" s="270">
        <f t="shared" si="26"/>
        <v>9952</v>
      </c>
      <c r="F24" s="270">
        <f t="shared" si="26"/>
        <v>10207.319999999992</v>
      </c>
      <c r="G24" s="270">
        <f t="shared" si="26"/>
        <v>364.96077000000219</v>
      </c>
      <c r="H24" s="270">
        <f t="shared" si="26"/>
        <v>10946.788699999983</v>
      </c>
      <c r="I24" s="270">
        <f t="shared" si="26"/>
        <v>3465.7195799999513</v>
      </c>
      <c r="J24" s="270">
        <f t="shared" ref="J24:K24" si="27">J10</f>
        <v>17693.028049999943</v>
      </c>
      <c r="K24" s="270">
        <f t="shared" si="27"/>
        <v>20139.726130000039</v>
      </c>
      <c r="L24" s="270">
        <f t="shared" ref="L24:M24" si="28">L10</f>
        <v>27464.244969999942</v>
      </c>
      <c r="M24" s="270">
        <f t="shared" si="28"/>
        <v>11279.744989999943</v>
      </c>
      <c r="N24" s="270">
        <f t="shared" ref="N24:O24" si="29">N10</f>
        <v>5126.2751699999881</v>
      </c>
      <c r="O24" s="270">
        <f t="shared" si="29"/>
        <v>14240.429259999974</v>
      </c>
      <c r="P24" s="270">
        <f t="shared" ref="P24:Q24" si="30">P10</f>
        <v>16820.641300000072</v>
      </c>
      <c r="Q24" s="270">
        <f t="shared" si="30"/>
        <v>834.29391999997017</v>
      </c>
      <c r="R24" s="270">
        <f t="shared" ref="R24:S24" si="31">R10</f>
        <v>32.101570000006177</v>
      </c>
      <c r="S24" s="270">
        <f t="shared" si="31"/>
        <v>194.97532999998685</v>
      </c>
      <c r="T24" s="270">
        <f t="shared" ref="T24:U24" si="32">T10</f>
        <v>4640.4409600000017</v>
      </c>
      <c r="U24" s="270">
        <f t="shared" si="32"/>
        <v>16917.126489999981</v>
      </c>
    </row>
    <row r="25" spans="3:23" x14ac:dyDescent="0.2">
      <c r="C25" s="273"/>
      <c r="D25" s="273"/>
      <c r="E25" s="273"/>
      <c r="F25" s="273"/>
      <c r="G25" s="273"/>
      <c r="H25" s="273"/>
      <c r="I25" s="273"/>
      <c r="J25" s="273"/>
      <c r="K25" s="273"/>
      <c r="L25" s="273"/>
      <c r="M25" s="273"/>
      <c r="N25" s="273"/>
      <c r="O25" s="273"/>
      <c r="P25" s="273"/>
      <c r="Q25" s="273"/>
      <c r="R25" s="273"/>
      <c r="S25" s="273"/>
      <c r="T25" s="273"/>
      <c r="U25" s="273"/>
    </row>
    <row r="26" spans="3:23" x14ac:dyDescent="0.2">
      <c r="C26" s="273"/>
      <c r="D26" s="273"/>
      <c r="E26" s="273"/>
      <c r="F26" s="273"/>
      <c r="G26" s="273"/>
      <c r="H26" s="273"/>
      <c r="I26" s="273"/>
      <c r="J26" s="273"/>
      <c r="K26" s="273"/>
      <c r="L26" s="273"/>
      <c r="M26" s="273"/>
      <c r="N26" s="273"/>
      <c r="O26" s="273"/>
      <c r="P26" s="273"/>
      <c r="Q26" s="273"/>
      <c r="R26" s="273"/>
      <c r="S26" s="273"/>
      <c r="T26" s="273"/>
      <c r="U26" s="273"/>
    </row>
    <row r="27" spans="3:23" x14ac:dyDescent="0.2">
      <c r="C27" s="273"/>
      <c r="D27" s="273"/>
      <c r="E27" s="273"/>
      <c r="F27" s="273"/>
      <c r="G27" s="273"/>
      <c r="H27" s="273"/>
      <c r="I27" s="273"/>
      <c r="J27" s="273"/>
      <c r="K27" s="273"/>
      <c r="L27" s="273"/>
      <c r="M27" s="273"/>
      <c r="N27" s="273"/>
      <c r="O27" s="273"/>
      <c r="P27" s="273"/>
      <c r="Q27" s="273"/>
      <c r="R27" s="273"/>
      <c r="S27" s="273"/>
      <c r="T27" s="273"/>
      <c r="U27" s="273"/>
    </row>
    <row r="28" spans="3:23" x14ac:dyDescent="0.2">
      <c r="C28" s="273"/>
      <c r="D28" s="273"/>
      <c r="E28" s="273"/>
      <c r="F28" s="273"/>
      <c r="G28" s="273"/>
      <c r="H28" s="273"/>
      <c r="I28" s="273"/>
      <c r="J28" s="273"/>
      <c r="K28" s="273"/>
      <c r="L28" s="273"/>
      <c r="M28" s="273"/>
      <c r="N28" s="273"/>
      <c r="O28" s="273"/>
      <c r="P28" s="273"/>
      <c r="Q28" s="273"/>
      <c r="R28" s="273"/>
      <c r="S28" s="273"/>
      <c r="T28" s="273"/>
      <c r="U28" s="273"/>
    </row>
    <row r="29" spans="3:23" x14ac:dyDescent="0.2">
      <c r="C29" s="273"/>
      <c r="D29" s="273"/>
      <c r="E29" s="273"/>
      <c r="F29" s="273"/>
      <c r="G29" s="273"/>
      <c r="H29" s="273"/>
      <c r="I29" s="273"/>
      <c r="J29" s="273"/>
      <c r="K29" s="273"/>
      <c r="L29" s="273"/>
      <c r="M29" s="273"/>
      <c r="N29" s="273"/>
      <c r="O29" s="273"/>
      <c r="P29" s="273"/>
      <c r="Q29" s="273"/>
      <c r="R29" s="273"/>
      <c r="S29" s="273"/>
      <c r="T29" s="273"/>
      <c r="U29" s="273"/>
    </row>
    <row r="30" spans="3:23" x14ac:dyDescent="0.2">
      <c r="C30" s="273"/>
      <c r="D30" s="273"/>
      <c r="E30" s="273"/>
      <c r="F30" s="273"/>
      <c r="G30" s="273"/>
      <c r="H30" s="273"/>
      <c r="I30" s="273"/>
      <c r="J30" s="273"/>
      <c r="K30" s="273"/>
      <c r="L30" s="273"/>
      <c r="M30" s="273"/>
      <c r="N30" s="273"/>
      <c r="O30" s="273"/>
      <c r="P30" s="273"/>
      <c r="Q30" s="273"/>
      <c r="R30" s="273"/>
      <c r="S30" s="273"/>
      <c r="T30" s="273"/>
      <c r="U30" s="273"/>
    </row>
    <row r="31" spans="3:23" x14ac:dyDescent="0.2">
      <c r="C31" s="273"/>
      <c r="D31" s="273"/>
      <c r="E31" s="273"/>
      <c r="F31" s="273"/>
      <c r="G31" s="273"/>
      <c r="H31" s="273"/>
      <c r="I31" s="273"/>
      <c r="J31" s="273"/>
      <c r="K31" s="273"/>
      <c r="L31" s="273"/>
      <c r="M31" s="273"/>
      <c r="N31" s="273"/>
      <c r="O31" s="273"/>
      <c r="P31" s="273"/>
      <c r="Q31" s="273"/>
      <c r="R31" s="273"/>
      <c r="S31" s="273"/>
      <c r="T31" s="273"/>
      <c r="U31" s="273"/>
    </row>
    <row r="32" spans="3:23" x14ac:dyDescent="0.2">
      <c r="C32" s="273"/>
      <c r="D32" s="273"/>
      <c r="E32" s="273"/>
      <c r="F32" s="273"/>
      <c r="G32" s="273"/>
      <c r="H32" s="273"/>
      <c r="I32" s="273"/>
      <c r="J32" s="273"/>
      <c r="K32" s="273"/>
      <c r="L32" s="273"/>
      <c r="M32" s="273"/>
      <c r="N32" s="273"/>
      <c r="O32" s="273"/>
      <c r="P32" s="273"/>
      <c r="Q32" s="273"/>
      <c r="R32" s="273"/>
      <c r="S32" s="273"/>
      <c r="T32" s="273"/>
      <c r="U32" s="273"/>
    </row>
    <row r="33" spans="3:21" x14ac:dyDescent="0.2">
      <c r="C33" s="273"/>
      <c r="D33" s="273"/>
      <c r="E33" s="273"/>
      <c r="F33" s="273"/>
      <c r="G33" s="273"/>
      <c r="H33" s="273"/>
      <c r="I33" s="273"/>
      <c r="J33" s="273"/>
      <c r="K33" s="273"/>
      <c r="L33" s="273"/>
      <c r="M33" s="273"/>
      <c r="N33" s="273"/>
      <c r="O33" s="273"/>
      <c r="P33" s="273"/>
      <c r="Q33" s="273"/>
      <c r="R33" s="273"/>
      <c r="S33" s="273"/>
      <c r="T33" s="273"/>
      <c r="U33" s="273"/>
    </row>
    <row r="34" spans="3:21" x14ac:dyDescent="0.2">
      <c r="C34" s="273"/>
      <c r="D34" s="273"/>
      <c r="E34" s="273"/>
      <c r="F34" s="273"/>
      <c r="G34" s="273"/>
      <c r="H34" s="273"/>
      <c r="I34" s="273"/>
      <c r="J34" s="273"/>
      <c r="K34" s="273"/>
      <c r="L34" s="273"/>
      <c r="M34" s="273"/>
      <c r="N34" s="273"/>
      <c r="O34" s="273"/>
      <c r="P34" s="273"/>
      <c r="Q34" s="273"/>
      <c r="R34" s="273"/>
      <c r="S34" s="273"/>
      <c r="T34" s="273"/>
      <c r="U34" s="273"/>
    </row>
    <row r="35" spans="3:21" x14ac:dyDescent="0.2">
      <c r="C35" s="273"/>
      <c r="D35" s="273"/>
      <c r="E35" s="273"/>
      <c r="F35" s="273"/>
      <c r="G35" s="273"/>
      <c r="H35" s="273"/>
      <c r="I35" s="273"/>
      <c r="J35" s="273"/>
      <c r="K35" s="273"/>
      <c r="L35" s="273"/>
      <c r="M35" s="273"/>
      <c r="N35" s="273"/>
      <c r="O35" s="273"/>
      <c r="P35" s="273"/>
      <c r="Q35" s="273"/>
      <c r="R35" s="273"/>
      <c r="S35" s="273"/>
      <c r="T35" s="273"/>
      <c r="U35" s="273"/>
    </row>
    <row r="36" spans="3:21" x14ac:dyDescent="0.2">
      <c r="C36" s="273"/>
      <c r="D36" s="273"/>
      <c r="E36" s="273"/>
      <c r="F36" s="273"/>
      <c r="G36" s="273"/>
      <c r="H36" s="273"/>
      <c r="I36" s="273"/>
      <c r="J36" s="273"/>
      <c r="K36" s="273"/>
      <c r="L36" s="273"/>
      <c r="M36" s="273"/>
      <c r="N36" s="273"/>
      <c r="O36" s="273"/>
      <c r="P36" s="273"/>
      <c r="Q36" s="273"/>
      <c r="R36" s="273"/>
      <c r="S36" s="273"/>
      <c r="T36" s="273"/>
      <c r="U36" s="273"/>
    </row>
    <row r="37" spans="3:21" x14ac:dyDescent="0.2">
      <c r="C37" s="273"/>
      <c r="D37" s="273"/>
      <c r="E37" s="273"/>
      <c r="F37" s="273"/>
      <c r="G37" s="273"/>
      <c r="H37" s="273"/>
      <c r="I37" s="273"/>
      <c r="J37" s="273"/>
      <c r="K37" s="273"/>
      <c r="L37" s="273"/>
      <c r="M37" s="273"/>
      <c r="N37" s="273"/>
      <c r="O37" s="273"/>
      <c r="P37" s="273"/>
      <c r="Q37" s="273"/>
      <c r="R37" s="273"/>
      <c r="S37" s="273"/>
      <c r="T37" s="273"/>
      <c r="U37" s="273"/>
    </row>
    <row r="38" spans="3:21" x14ac:dyDescent="0.2">
      <c r="C38" s="273"/>
      <c r="D38" s="273"/>
      <c r="E38" s="273"/>
      <c r="F38" s="273"/>
      <c r="G38" s="273"/>
      <c r="H38" s="273"/>
      <c r="I38" s="273"/>
      <c r="J38" s="273"/>
      <c r="K38" s="273"/>
      <c r="L38" s="273"/>
      <c r="M38" s="273"/>
      <c r="N38" s="273"/>
      <c r="O38" s="273"/>
      <c r="P38" s="273"/>
      <c r="Q38" s="273"/>
      <c r="R38" s="273"/>
      <c r="S38" s="273"/>
      <c r="T38" s="273"/>
      <c r="U38" s="273"/>
    </row>
    <row r="39" spans="3:21" x14ac:dyDescent="0.2">
      <c r="C39" s="273"/>
      <c r="D39" s="273"/>
      <c r="E39" s="273"/>
      <c r="F39" s="273"/>
      <c r="G39" s="273"/>
      <c r="H39" s="273"/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  <c r="U39" s="273"/>
    </row>
    <row r="40" spans="3:21" x14ac:dyDescent="0.2">
      <c r="C40" s="273"/>
      <c r="D40" s="273"/>
      <c r="E40" s="273"/>
      <c r="F40" s="273"/>
      <c r="G40" s="273"/>
      <c r="H40" s="273"/>
      <c r="I40" s="273"/>
      <c r="J40" s="273"/>
      <c r="K40" s="273"/>
      <c r="L40" s="273"/>
      <c r="M40" s="273"/>
      <c r="N40" s="273"/>
      <c r="O40" s="273"/>
      <c r="P40" s="273"/>
      <c r="Q40" s="273"/>
      <c r="R40" s="273"/>
      <c r="S40" s="273"/>
      <c r="T40" s="273"/>
      <c r="U40" s="273"/>
    </row>
    <row r="41" spans="3:21" x14ac:dyDescent="0.2">
      <c r="C41" s="273"/>
      <c r="D41" s="273"/>
      <c r="E41" s="273"/>
      <c r="F41" s="273"/>
      <c r="G41" s="273"/>
      <c r="H41" s="273"/>
      <c r="I41" s="273"/>
      <c r="J41" s="273"/>
      <c r="K41" s="273"/>
      <c r="L41" s="273"/>
      <c r="M41" s="273"/>
      <c r="N41" s="273"/>
      <c r="O41" s="273"/>
      <c r="P41" s="273"/>
      <c r="Q41" s="273"/>
      <c r="R41" s="273"/>
      <c r="S41" s="273"/>
      <c r="T41" s="273"/>
      <c r="U41" s="273"/>
    </row>
    <row r="42" spans="3:21" x14ac:dyDescent="0.2">
      <c r="C42" s="273"/>
      <c r="D42" s="273"/>
      <c r="E42" s="273"/>
      <c r="F42" s="273"/>
      <c r="G42" s="273"/>
      <c r="H42" s="273"/>
      <c r="I42" s="273"/>
      <c r="J42" s="273"/>
      <c r="K42" s="273"/>
      <c r="L42" s="273"/>
      <c r="M42" s="273"/>
      <c r="N42" s="273"/>
      <c r="O42" s="273"/>
      <c r="P42" s="273"/>
      <c r="Q42" s="273"/>
      <c r="R42" s="273"/>
      <c r="S42" s="273"/>
      <c r="T42" s="273"/>
      <c r="U42" s="273"/>
    </row>
    <row r="43" spans="3:21" x14ac:dyDescent="0.2">
      <c r="C43" s="273"/>
      <c r="D43" s="273"/>
      <c r="E43" s="273"/>
      <c r="F43" s="273"/>
      <c r="G43" s="273"/>
      <c r="H43" s="273"/>
      <c r="I43" s="273"/>
      <c r="J43" s="273"/>
      <c r="K43" s="273"/>
      <c r="L43" s="273"/>
      <c r="M43" s="273"/>
      <c r="N43" s="273"/>
      <c r="O43" s="273"/>
      <c r="P43" s="273"/>
      <c r="Q43" s="273"/>
      <c r="R43" s="273"/>
      <c r="S43" s="273"/>
      <c r="T43" s="273"/>
      <c r="U43" s="273"/>
    </row>
    <row r="44" spans="3:21" x14ac:dyDescent="0.2">
      <c r="C44" s="273"/>
      <c r="D44" s="273"/>
      <c r="E44" s="273"/>
      <c r="F44" s="273"/>
      <c r="G44" s="273"/>
      <c r="H44" s="273"/>
      <c r="I44" s="273"/>
      <c r="J44" s="273"/>
      <c r="K44" s="273"/>
      <c r="L44" s="273"/>
      <c r="M44" s="273"/>
      <c r="N44" s="273"/>
      <c r="O44" s="273"/>
      <c r="P44" s="273"/>
      <c r="Q44" s="273"/>
      <c r="R44" s="273"/>
      <c r="S44" s="273"/>
      <c r="T44" s="273"/>
      <c r="U44" s="273"/>
    </row>
    <row r="45" spans="3:21" x14ac:dyDescent="0.2">
      <c r="C45" s="273"/>
      <c r="D45" s="273"/>
      <c r="E45" s="273"/>
      <c r="F45" s="273"/>
      <c r="G45" s="273"/>
      <c r="H45" s="273"/>
      <c r="I45" s="273"/>
      <c r="J45" s="273"/>
      <c r="K45" s="273"/>
      <c r="L45" s="273"/>
      <c r="M45" s="273"/>
      <c r="N45" s="273"/>
      <c r="O45" s="273"/>
      <c r="P45" s="273"/>
      <c r="Q45" s="273"/>
      <c r="R45" s="273"/>
      <c r="S45" s="273"/>
      <c r="T45" s="273"/>
      <c r="U45" s="273"/>
    </row>
    <row r="46" spans="3:21" x14ac:dyDescent="0.2">
      <c r="C46" s="273"/>
      <c r="D46" s="273"/>
      <c r="E46" s="273"/>
      <c r="F46" s="273"/>
      <c r="G46" s="273"/>
      <c r="H46" s="273"/>
      <c r="I46" s="273"/>
      <c r="J46" s="273"/>
      <c r="K46" s="273"/>
      <c r="L46" s="273"/>
      <c r="M46" s="273"/>
      <c r="N46" s="273"/>
      <c r="O46" s="273"/>
      <c r="P46" s="273"/>
      <c r="Q46" s="273"/>
      <c r="R46" s="273"/>
      <c r="S46" s="273"/>
      <c r="T46" s="273"/>
      <c r="U46" s="273"/>
    </row>
    <row r="47" spans="3:21" ht="80.25" customHeight="1" x14ac:dyDescent="0.2">
      <c r="C47" s="273"/>
      <c r="D47" s="273"/>
      <c r="E47" s="273"/>
      <c r="F47" s="273"/>
      <c r="G47" s="273"/>
      <c r="H47" s="273"/>
      <c r="I47" s="273"/>
      <c r="J47" s="273"/>
      <c r="K47" s="273"/>
      <c r="L47" s="273"/>
      <c r="M47" s="273"/>
      <c r="N47" s="273"/>
      <c r="O47" s="273"/>
      <c r="P47" s="273"/>
      <c r="Q47" s="273"/>
      <c r="R47" s="273"/>
      <c r="S47" s="273"/>
      <c r="T47" s="273"/>
      <c r="U47" s="273"/>
    </row>
    <row r="48" spans="3:21" x14ac:dyDescent="0.2">
      <c r="C48" s="267" t="s">
        <v>285</v>
      </c>
      <c r="D48" s="268">
        <f>Výkazy!I$3</f>
        <v>2007</v>
      </c>
      <c r="E48" s="268">
        <f>Výkazy!J$3</f>
        <v>2008</v>
      </c>
      <c r="F48" s="268">
        <f>Výkazy!K$3</f>
        <v>2009</v>
      </c>
      <c r="G48" s="268">
        <f>Výkazy!L$3</f>
        <v>2010</v>
      </c>
      <c r="H48" s="268">
        <f>Výkazy!M$3</f>
        <v>2011</v>
      </c>
      <c r="I48" s="268">
        <f>Výkazy!N$3</f>
        <v>2012</v>
      </c>
      <c r="J48" s="268">
        <f>Výkazy!O$3</f>
        <v>2013</v>
      </c>
      <c r="K48" s="268">
        <f>Výkazy!P$3</f>
        <v>2014</v>
      </c>
      <c r="L48" s="268">
        <f>Výkazy!Q$3</f>
        <v>2015</v>
      </c>
      <c r="M48" s="268">
        <f>Výkazy!R$3</f>
        <v>2016</v>
      </c>
      <c r="N48" s="268">
        <f>Výkazy!S$3</f>
        <v>2017</v>
      </c>
      <c r="O48" s="268">
        <f>Výkazy!T$3</f>
        <v>2018</v>
      </c>
      <c r="P48" s="268">
        <f>Výkazy!U$3</f>
        <v>2019</v>
      </c>
      <c r="Q48" s="268">
        <f>Výkazy!V$3</f>
        <v>2020</v>
      </c>
      <c r="R48" s="268">
        <f>Výkazy!W$3</f>
        <v>2021</v>
      </c>
      <c r="S48" s="268">
        <f>Výkazy!X$3</f>
        <v>2022</v>
      </c>
      <c r="T48" s="268">
        <f>Výkazy!Y$3</f>
        <v>2023</v>
      </c>
      <c r="U48" s="268">
        <f>Výkazy!Z$3</f>
        <v>2024</v>
      </c>
    </row>
    <row r="49" spans="3:21" x14ac:dyDescent="0.2">
      <c r="C49" s="269" t="s">
        <v>284</v>
      </c>
      <c r="D49" s="274" t="s">
        <v>286</v>
      </c>
      <c r="E49" s="275">
        <f t="shared" ref="E49:I50" si="33">E21/$D21</f>
        <v>1.4402950577821489</v>
      </c>
      <c r="F49" s="275">
        <f t="shared" si="33"/>
        <v>1.7806970507991147</v>
      </c>
      <c r="G49" s="275">
        <f t="shared" si="33"/>
        <v>2.2087944358003444</v>
      </c>
      <c r="H49" s="275">
        <f t="shared" si="33"/>
        <v>3.0703353180231128</v>
      </c>
      <c r="I49" s="275">
        <f t="shared" si="33"/>
        <v>3.469522045930661</v>
      </c>
      <c r="J49" s="275">
        <f t="shared" ref="J49:K49" si="34">J21/$D21</f>
        <v>3.8930174382099825</v>
      </c>
      <c r="K49" s="275">
        <f t="shared" si="34"/>
        <v>4.0974220412097369</v>
      </c>
      <c r="L49" s="275">
        <f t="shared" ref="L49:M49" si="35">L21/$D21</f>
        <v>4.3573247791492493</v>
      </c>
      <c r="M49" s="275">
        <f t="shared" si="35"/>
        <v>3.9941789822473566</v>
      </c>
      <c r="N49" s="275">
        <f t="shared" ref="N49:O49" si="36">N21/$D21</f>
        <v>3.9642391490533564</v>
      </c>
      <c r="O49" s="275">
        <f t="shared" si="36"/>
        <v>3.7951713054339811</v>
      </c>
      <c r="P49" s="275">
        <f t="shared" ref="P49:Q49" si="37">P21/$D21</f>
        <v>3.8350382391935089</v>
      </c>
      <c r="Q49" s="275">
        <f t="shared" si="37"/>
        <v>2.6606700946151953</v>
      </c>
      <c r="R49" s="275">
        <f t="shared" ref="R49:S49" si="38">R21/$D21</f>
        <v>2.8976017689697566</v>
      </c>
      <c r="S49" s="275">
        <f t="shared" si="38"/>
        <v>2.9304533321858863</v>
      </c>
      <c r="T49" s="275">
        <f t="shared" ref="T49:U49" si="39">T21/$D21</f>
        <v>2.8162845769363165</v>
      </c>
      <c r="U49" s="275">
        <f t="shared" si="39"/>
        <v>2.0538476499631177</v>
      </c>
    </row>
    <row r="50" spans="3:21" x14ac:dyDescent="0.2">
      <c r="C50" s="269" t="s">
        <v>13</v>
      </c>
      <c r="D50" s="274" t="s">
        <v>286</v>
      </c>
      <c r="E50" s="275">
        <f t="shared" si="33"/>
        <v>1.5966218329684079</v>
      </c>
      <c r="F50" s="275">
        <f t="shared" si="33"/>
        <v>1.8109762177040971</v>
      </c>
      <c r="G50" s="275">
        <f t="shared" si="33"/>
        <v>1.8143673906787614</v>
      </c>
      <c r="H50" s="275">
        <f t="shared" si="33"/>
        <v>3.7550554907725981</v>
      </c>
      <c r="I50" s="275">
        <f t="shared" si="33"/>
        <v>4.4971476659368124</v>
      </c>
      <c r="J50" s="275">
        <f t="shared" ref="J50:K50" si="40">J22/$D22</f>
        <v>6.583989583984982</v>
      </c>
      <c r="K50" s="275">
        <f t="shared" si="40"/>
        <v>7.9047917935564618</v>
      </c>
      <c r="L50" s="275">
        <f t="shared" ref="L50:M50" si="41">L22/$D22</f>
        <v>9.8542711129183562</v>
      </c>
      <c r="M50" s="275">
        <f t="shared" si="41"/>
        <v>11.005527179856113</v>
      </c>
      <c r="N50" s="275">
        <f t="shared" ref="N50:O50" si="42">N22/$D22</f>
        <v>10.312061918673756</v>
      </c>
      <c r="O50" s="275">
        <f t="shared" si="42"/>
        <v>10.875153991867373</v>
      </c>
      <c r="P50" s="275">
        <f t="shared" ref="P50:Q50" si="43">P22/$D22</f>
        <v>10.981091263684707</v>
      </c>
      <c r="Q50" s="275">
        <f t="shared" si="43"/>
        <v>7.5592719630903957</v>
      </c>
      <c r="R50" s="275">
        <f t="shared" ref="R50:S50" si="44">R22/$D22</f>
        <v>8.256056196434157</v>
      </c>
      <c r="S50" s="275">
        <f t="shared" si="44"/>
        <v>7.9852534100719419</v>
      </c>
      <c r="T50" s="275">
        <f t="shared" ref="T50:U50" si="45">T22/$D22</f>
        <v>8.6443736115107921</v>
      </c>
      <c r="U50" s="275">
        <f t="shared" si="45"/>
        <v>6.1051893456365338</v>
      </c>
    </row>
    <row r="51" spans="3:21" x14ac:dyDescent="0.2">
      <c r="C51" s="269" t="s">
        <v>209</v>
      </c>
      <c r="D51" s="274" t="s">
        <v>286</v>
      </c>
      <c r="E51" s="275">
        <f t="shared" ref="E51:I52" si="46">E23/$D23</f>
        <v>18.3656462585034</v>
      </c>
      <c r="F51" s="275">
        <f t="shared" si="46"/>
        <v>25.244691411564613</v>
      </c>
      <c r="G51" s="275">
        <f t="shared" si="46"/>
        <v>4.0366805612244923</v>
      </c>
      <c r="H51" s="275">
        <f t="shared" si="46"/>
        <v>21.909052244897929</v>
      </c>
      <c r="I51" s="275">
        <f t="shared" si="46"/>
        <v>11.402424608843456</v>
      </c>
      <c r="J51" s="275">
        <f t="shared" ref="J51:K51" si="47">J23/$D23</f>
        <v>33.389647517006708</v>
      </c>
      <c r="K51" s="275">
        <f t="shared" si="47"/>
        <v>43.658145153061291</v>
      </c>
      <c r="L51" s="275">
        <f t="shared" ref="L51:M51" si="48">L23/$D23</f>
        <v>61.19121401360534</v>
      </c>
      <c r="M51" s="275">
        <f t="shared" si="48"/>
        <v>25.666436190476091</v>
      </c>
      <c r="N51" s="275">
        <f t="shared" ref="N51:O51" si="49">N23/$D23</f>
        <v>12.859458367346919</v>
      </c>
      <c r="O51" s="275">
        <f t="shared" si="49"/>
        <v>31.151459098639418</v>
      </c>
      <c r="P51" s="275">
        <f t="shared" ref="P51:Q51" si="50">P23/$D23</f>
        <v>38.361834659864066</v>
      </c>
      <c r="Q51" s="275">
        <f t="shared" si="50"/>
        <v>-1.9700676020408674</v>
      </c>
      <c r="R51" s="275">
        <f t="shared" ref="R51:S51" si="51">R23/$D23</f>
        <v>8.5626921768717459E-2</v>
      </c>
      <c r="S51" s="275">
        <f t="shared" si="51"/>
        <v>2.2096747448979355</v>
      </c>
      <c r="T51" s="275">
        <f t="shared" ref="T51:U51" si="52">T23/$D23</f>
        <v>8.2285745238095274</v>
      </c>
      <c r="U51" s="275">
        <f t="shared" si="52"/>
        <v>29.031015255102005</v>
      </c>
    </row>
    <row r="52" spans="3:21" x14ac:dyDescent="0.2">
      <c r="C52" s="269" t="s">
        <v>213</v>
      </c>
      <c r="D52" s="274" t="s">
        <v>286</v>
      </c>
      <c r="E52" s="275">
        <f t="shared" si="46"/>
        <v>110.57777777777778</v>
      </c>
      <c r="F52" s="275">
        <f t="shared" si="46"/>
        <v>113.41466666666658</v>
      </c>
      <c r="G52" s="275">
        <f t="shared" si="46"/>
        <v>4.0551196666666911</v>
      </c>
      <c r="H52" s="275">
        <f t="shared" si="46"/>
        <v>121.63098555555537</v>
      </c>
      <c r="I52" s="275">
        <f t="shared" si="46"/>
        <v>38.507995333332794</v>
      </c>
      <c r="J52" s="275">
        <f t="shared" ref="J52:K52" si="53">J24/$D24</f>
        <v>196.58920055555492</v>
      </c>
      <c r="K52" s="275">
        <f t="shared" si="53"/>
        <v>223.77473477777821</v>
      </c>
      <c r="L52" s="275">
        <f t="shared" ref="L52:M52" si="54">L24/$D24</f>
        <v>305.1582774444438</v>
      </c>
      <c r="M52" s="275">
        <f t="shared" si="54"/>
        <v>125.33049988888826</v>
      </c>
      <c r="N52" s="275">
        <f t="shared" ref="N52:O52" si="55">N24/$D24</f>
        <v>56.958612999999865</v>
      </c>
      <c r="O52" s="275">
        <f t="shared" si="55"/>
        <v>158.22699177777747</v>
      </c>
      <c r="P52" s="275">
        <f t="shared" ref="P52:Q52" si="56">P24/$D24</f>
        <v>186.89601444444526</v>
      </c>
      <c r="Q52" s="275">
        <f t="shared" si="56"/>
        <v>9.2699324444441125</v>
      </c>
      <c r="R52" s="275">
        <f t="shared" ref="R52:S52" si="57">R24/$D24</f>
        <v>0.35668411111117976</v>
      </c>
      <c r="S52" s="275">
        <f t="shared" si="57"/>
        <v>2.1663925555554093</v>
      </c>
      <c r="T52" s="275">
        <f t="shared" ref="T52:U52" si="58">T24/$D24</f>
        <v>51.560455111111132</v>
      </c>
      <c r="U52" s="275">
        <f t="shared" si="58"/>
        <v>187.9680721111109</v>
      </c>
    </row>
    <row r="53" spans="3:21" x14ac:dyDescent="0.2">
      <c r="C53" s="273"/>
      <c r="D53" s="273"/>
      <c r="E53" s="273"/>
      <c r="F53" s="273"/>
      <c r="G53" s="273"/>
      <c r="H53" s="273"/>
      <c r="I53" s="273"/>
      <c r="J53" s="273"/>
      <c r="K53" s="273"/>
      <c r="L53" s="273"/>
      <c r="M53" s="273"/>
      <c r="N53" s="273"/>
      <c r="O53" s="273"/>
      <c r="P53" s="273"/>
      <c r="Q53" s="273"/>
      <c r="R53" s="273"/>
      <c r="S53" s="273"/>
      <c r="T53" s="273"/>
      <c r="U53" s="273"/>
    </row>
    <row r="54" spans="3:21" x14ac:dyDescent="0.2">
      <c r="C54" s="273"/>
      <c r="D54" s="273"/>
      <c r="E54" s="273"/>
      <c r="F54" s="273"/>
      <c r="G54" s="273"/>
      <c r="H54" s="273"/>
      <c r="I54" s="273"/>
      <c r="J54" s="273"/>
      <c r="K54" s="273"/>
      <c r="L54" s="273"/>
      <c r="M54" s="273"/>
      <c r="N54" s="273"/>
      <c r="O54" s="273"/>
      <c r="P54" s="273"/>
      <c r="Q54" s="273"/>
      <c r="R54" s="273"/>
      <c r="S54" s="273"/>
      <c r="T54" s="273"/>
      <c r="U54" s="273"/>
    </row>
    <row r="55" spans="3:21" x14ac:dyDescent="0.2">
      <c r="C55" s="273"/>
      <c r="D55" s="273"/>
      <c r="E55" s="273"/>
      <c r="F55" s="273"/>
      <c r="G55" s="273"/>
      <c r="H55" s="273"/>
      <c r="I55" s="273"/>
      <c r="J55" s="273"/>
      <c r="K55" s="273"/>
      <c r="L55" s="273"/>
      <c r="M55" s="273"/>
      <c r="N55" s="273"/>
      <c r="O55" s="273"/>
      <c r="P55" s="273"/>
      <c r="Q55" s="273"/>
      <c r="R55" s="273"/>
      <c r="S55" s="273"/>
      <c r="T55" s="273"/>
      <c r="U55" s="273"/>
    </row>
    <row r="56" spans="3:21" x14ac:dyDescent="0.2">
      <c r="C56" s="273"/>
      <c r="D56" s="273"/>
      <c r="E56" s="273"/>
      <c r="F56" s="273"/>
      <c r="G56" s="273"/>
      <c r="H56" s="273"/>
      <c r="I56" s="273"/>
      <c r="J56" s="273"/>
      <c r="K56" s="273"/>
      <c r="L56" s="273"/>
      <c r="M56" s="273"/>
      <c r="N56" s="273"/>
      <c r="O56" s="273"/>
      <c r="P56" s="273"/>
      <c r="Q56" s="273"/>
      <c r="R56" s="273"/>
      <c r="S56" s="273"/>
      <c r="T56" s="273"/>
      <c r="U56" s="273"/>
    </row>
    <row r="57" spans="3:21" x14ac:dyDescent="0.2">
      <c r="C57" s="273"/>
      <c r="D57" s="273"/>
      <c r="E57" s="273"/>
      <c r="F57" s="273"/>
      <c r="G57" s="273"/>
      <c r="H57" s="273"/>
      <c r="I57" s="273"/>
      <c r="J57" s="273"/>
      <c r="K57" s="273"/>
      <c r="L57" s="273"/>
      <c r="M57" s="273"/>
      <c r="N57" s="273"/>
      <c r="O57" s="273"/>
      <c r="P57" s="273"/>
      <c r="Q57" s="273"/>
      <c r="R57" s="273"/>
      <c r="S57" s="273"/>
      <c r="T57" s="273"/>
      <c r="U57" s="273"/>
    </row>
    <row r="58" spans="3:21" x14ac:dyDescent="0.2">
      <c r="C58" s="273"/>
      <c r="D58" s="273"/>
      <c r="E58" s="273"/>
      <c r="F58" s="273"/>
      <c r="G58" s="273"/>
      <c r="H58" s="273"/>
      <c r="I58" s="273"/>
      <c r="J58" s="273"/>
      <c r="K58" s="273"/>
      <c r="L58" s="273"/>
      <c r="M58" s="273"/>
      <c r="N58" s="273"/>
      <c r="O58" s="273"/>
      <c r="P58" s="273"/>
      <c r="Q58" s="273"/>
      <c r="R58" s="273"/>
      <c r="S58" s="273"/>
      <c r="T58" s="273"/>
      <c r="U58" s="273"/>
    </row>
    <row r="59" spans="3:21" x14ac:dyDescent="0.2">
      <c r="C59" s="273"/>
      <c r="D59" s="273"/>
      <c r="E59" s="273"/>
      <c r="F59" s="273"/>
      <c r="G59" s="273"/>
      <c r="H59" s="273"/>
      <c r="I59" s="273"/>
      <c r="J59" s="273"/>
      <c r="K59" s="273"/>
      <c r="L59" s="273"/>
      <c r="M59" s="273"/>
      <c r="N59" s="273"/>
      <c r="O59" s="273"/>
      <c r="P59" s="273"/>
      <c r="Q59" s="273"/>
      <c r="R59" s="273"/>
      <c r="S59" s="273"/>
      <c r="T59" s="273"/>
      <c r="U59" s="273"/>
    </row>
    <row r="60" spans="3:21" x14ac:dyDescent="0.2">
      <c r="C60" s="273"/>
      <c r="D60" s="273"/>
      <c r="E60" s="273"/>
      <c r="F60" s="273"/>
      <c r="G60" s="273"/>
      <c r="H60" s="273"/>
      <c r="I60" s="273"/>
      <c r="J60" s="273"/>
      <c r="K60" s="273"/>
      <c r="L60" s="273"/>
      <c r="M60" s="273"/>
      <c r="N60" s="273"/>
      <c r="O60" s="273"/>
      <c r="P60" s="273"/>
      <c r="Q60" s="273"/>
      <c r="R60" s="273"/>
      <c r="S60" s="273"/>
      <c r="T60" s="273"/>
      <c r="U60" s="273"/>
    </row>
    <row r="61" spans="3:21" x14ac:dyDescent="0.2">
      <c r="C61" s="273"/>
      <c r="D61" s="273"/>
      <c r="E61" s="273"/>
      <c r="F61" s="273"/>
      <c r="G61" s="273"/>
      <c r="H61" s="273"/>
      <c r="I61" s="273"/>
      <c r="J61" s="273"/>
      <c r="K61" s="273"/>
      <c r="L61" s="273"/>
      <c r="M61" s="273"/>
      <c r="N61" s="273"/>
      <c r="O61" s="273"/>
      <c r="P61" s="273"/>
      <c r="Q61" s="273"/>
      <c r="R61" s="273"/>
      <c r="S61" s="273"/>
      <c r="T61" s="273"/>
      <c r="U61" s="273"/>
    </row>
    <row r="62" spans="3:21" x14ac:dyDescent="0.2">
      <c r="C62" s="273"/>
      <c r="D62" s="273"/>
      <c r="E62" s="273"/>
      <c r="F62" s="273"/>
      <c r="G62" s="273"/>
      <c r="H62" s="273"/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273"/>
      <c r="U62" s="273"/>
    </row>
    <row r="63" spans="3:21" x14ac:dyDescent="0.2">
      <c r="C63" s="273"/>
      <c r="D63" s="273"/>
      <c r="E63" s="273"/>
      <c r="F63" s="273"/>
      <c r="G63" s="273"/>
      <c r="H63" s="273"/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  <c r="U63" s="273"/>
    </row>
    <row r="64" spans="3:21" x14ac:dyDescent="0.2">
      <c r="C64" s="273"/>
      <c r="D64" s="273"/>
      <c r="E64" s="273"/>
      <c r="F64" s="273"/>
      <c r="G64" s="273"/>
      <c r="H64" s="273"/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  <c r="U64" s="273"/>
    </row>
    <row r="65" spans="3:21" x14ac:dyDescent="0.2">
      <c r="C65" s="273"/>
      <c r="D65" s="273"/>
      <c r="E65" s="273"/>
      <c r="F65" s="273"/>
      <c r="G65" s="273"/>
      <c r="H65" s="273"/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  <c r="U65" s="273"/>
    </row>
    <row r="66" spans="3:21" x14ac:dyDescent="0.2">
      <c r="C66" s="273"/>
      <c r="D66" s="273"/>
      <c r="E66" s="273"/>
      <c r="F66" s="273"/>
      <c r="G66" s="273"/>
      <c r="H66" s="273"/>
      <c r="I66" s="273"/>
      <c r="J66" s="273"/>
      <c r="K66" s="273"/>
      <c r="L66" s="273"/>
      <c r="M66" s="273"/>
      <c r="N66" s="273"/>
      <c r="O66" s="273"/>
      <c r="P66" s="273"/>
      <c r="Q66" s="273"/>
      <c r="R66" s="273"/>
      <c r="S66" s="273"/>
      <c r="T66" s="273"/>
      <c r="U66" s="273"/>
    </row>
    <row r="67" spans="3:21" x14ac:dyDescent="0.2">
      <c r="C67" s="273"/>
      <c r="D67" s="273"/>
      <c r="E67" s="273"/>
      <c r="F67" s="273"/>
      <c r="G67" s="273"/>
      <c r="H67" s="273"/>
      <c r="I67" s="273"/>
      <c r="J67" s="273"/>
      <c r="K67" s="273"/>
      <c r="L67" s="273"/>
      <c r="M67" s="273"/>
      <c r="N67" s="273"/>
      <c r="O67" s="273"/>
      <c r="P67" s="273"/>
      <c r="Q67" s="273"/>
      <c r="R67" s="273"/>
      <c r="S67" s="273"/>
      <c r="T67" s="273"/>
      <c r="U67" s="273"/>
    </row>
    <row r="68" spans="3:21" x14ac:dyDescent="0.2">
      <c r="C68" s="267" t="s">
        <v>287</v>
      </c>
      <c r="D68" s="268">
        <f>Výkazy!I$3</f>
        <v>2007</v>
      </c>
      <c r="E68" s="268">
        <f>Výkazy!J$3</f>
        <v>2008</v>
      </c>
      <c r="F68" s="268">
        <f>Výkazy!K$3</f>
        <v>2009</v>
      </c>
      <c r="G68" s="268">
        <f>Výkazy!L$3</f>
        <v>2010</v>
      </c>
      <c r="H68" s="268">
        <f>Výkazy!M$3</f>
        <v>2011</v>
      </c>
      <c r="I68" s="268">
        <f>Výkazy!N$3</f>
        <v>2012</v>
      </c>
      <c r="J68" s="268">
        <f>Výkazy!O$3</f>
        <v>2013</v>
      </c>
      <c r="K68" s="268">
        <f>Výkazy!P$3</f>
        <v>2014</v>
      </c>
      <c r="L68" s="268">
        <f>Výkazy!Q$3</f>
        <v>2015</v>
      </c>
      <c r="M68" s="268">
        <f>Výkazy!R$3</f>
        <v>2016</v>
      </c>
      <c r="N68" s="268">
        <f>Výkazy!S$3</f>
        <v>2017</v>
      </c>
      <c r="O68" s="268">
        <f>Výkazy!T$3</f>
        <v>2018</v>
      </c>
      <c r="P68" s="268">
        <f>Výkazy!U$3</f>
        <v>2019</v>
      </c>
      <c r="Q68" s="268">
        <f>Výkazy!V$3</f>
        <v>2020</v>
      </c>
      <c r="R68" s="268">
        <f>Výkazy!W$3</f>
        <v>2021</v>
      </c>
      <c r="S68" s="268">
        <f>Výkazy!X$3</f>
        <v>2022</v>
      </c>
      <c r="T68" s="268">
        <f>Výkazy!Y$3</f>
        <v>2023</v>
      </c>
      <c r="U68" s="268">
        <f>Výkazy!Z$3</f>
        <v>2024</v>
      </c>
    </row>
    <row r="69" spans="3:21" x14ac:dyDescent="0.2">
      <c r="C69" s="269" t="s">
        <v>284</v>
      </c>
      <c r="D69" s="274" t="s">
        <v>286</v>
      </c>
      <c r="E69" s="275">
        <f t="shared" ref="E69:U69" si="59">E21/D21</f>
        <v>1.4402950577821489</v>
      </c>
      <c r="F69" s="275">
        <f t="shared" si="59"/>
        <v>1.2363418461916662</v>
      </c>
      <c r="G69" s="275">
        <f t="shared" si="59"/>
        <v>1.2404100039414983</v>
      </c>
      <c r="H69" s="275">
        <f t="shared" si="59"/>
        <v>1.3900502773181762</v>
      </c>
      <c r="I69" s="275">
        <f t="shared" si="59"/>
        <v>1.1300140494636823</v>
      </c>
      <c r="J69" s="275">
        <f t="shared" si="59"/>
        <v>1.1220615942694561</v>
      </c>
      <c r="K69" s="275">
        <f t="shared" si="59"/>
        <v>1.0525054424348379</v>
      </c>
      <c r="L69" s="275">
        <f t="shared" si="59"/>
        <v>1.0634307951012969</v>
      </c>
      <c r="M69" s="275">
        <f t="shared" si="59"/>
        <v>0.91665854272795433</v>
      </c>
      <c r="N69" s="275">
        <f t="shared" si="59"/>
        <v>0.99250413330822895</v>
      </c>
      <c r="O69" s="275">
        <f t="shared" si="59"/>
        <v>0.95735175470941303</v>
      </c>
      <c r="P69" s="275">
        <f t="shared" si="59"/>
        <v>1.010504646707896</v>
      </c>
      <c r="Q69" s="275">
        <f t="shared" si="59"/>
        <v>0.69377928684609991</v>
      </c>
      <c r="R69" s="275">
        <f t="shared" si="59"/>
        <v>1.0890496250677888</v>
      </c>
      <c r="S69" s="275">
        <f t="shared" si="59"/>
        <v>1.0113375010907071</v>
      </c>
      <c r="T69" s="275">
        <f t="shared" si="59"/>
        <v>0.96104058235781264</v>
      </c>
      <c r="U69" s="275">
        <f t="shared" si="59"/>
        <v>0.72927560900020527</v>
      </c>
    </row>
    <row r="70" spans="3:21" x14ac:dyDescent="0.2">
      <c r="C70" s="269" t="s">
        <v>13</v>
      </c>
      <c r="D70" s="274" t="s">
        <v>286</v>
      </c>
      <c r="E70" s="275">
        <f t="shared" ref="E70:U72" si="60">E22/D22</f>
        <v>1.5966218329684079</v>
      </c>
      <c r="F70" s="275">
        <f t="shared" si="60"/>
        <v>1.1342549502390091</v>
      </c>
      <c r="G70" s="275">
        <f t="shared" si="60"/>
        <v>1.0018725662664767</v>
      </c>
      <c r="H70" s="275">
        <f t="shared" si="60"/>
        <v>2.0696224535692402</v>
      </c>
      <c r="I70" s="275">
        <f t="shared" si="60"/>
        <v>1.1976248225859185</v>
      </c>
      <c r="J70" s="275">
        <f t="shared" si="60"/>
        <v>1.4640367791021722</v>
      </c>
      <c r="K70" s="275">
        <f t="shared" si="60"/>
        <v>1.2006081863774849</v>
      </c>
      <c r="L70" s="275">
        <f t="shared" si="60"/>
        <v>1.2466199452528275</v>
      </c>
      <c r="M70" s="275">
        <f t="shared" si="60"/>
        <v>1.1168281300306959</v>
      </c>
      <c r="N70" s="275">
        <f t="shared" si="60"/>
        <v>0.93698936453933479</v>
      </c>
      <c r="O70" s="275">
        <f t="shared" si="60"/>
        <v>1.0546051873654805</v>
      </c>
      <c r="P70" s="275">
        <f t="shared" si="60"/>
        <v>1.0097412203906773</v>
      </c>
      <c r="Q70" s="275">
        <f t="shared" si="60"/>
        <v>0.68838986778021549</v>
      </c>
      <c r="R70" s="275">
        <f t="shared" si="60"/>
        <v>1.0921761033001518</v>
      </c>
      <c r="S70" s="275">
        <f t="shared" si="60"/>
        <v>0.96719949817212036</v>
      </c>
      <c r="T70" s="275">
        <f t="shared" si="60"/>
        <v>1.0825421771346029</v>
      </c>
      <c r="U70" s="275">
        <f t="shared" si="60"/>
        <v>0.70626162403565051</v>
      </c>
    </row>
    <row r="71" spans="3:21" x14ac:dyDescent="0.2">
      <c r="C71" s="269" t="s">
        <v>209</v>
      </c>
      <c r="D71" s="274" t="s">
        <v>286</v>
      </c>
      <c r="E71" s="275">
        <f t="shared" si="60"/>
        <v>18.3656462585034</v>
      </c>
      <c r="F71" s="275">
        <f t="shared" si="60"/>
        <v>1.3745604731919614</v>
      </c>
      <c r="G71" s="275">
        <f t="shared" si="60"/>
        <v>0.15990215508735772</v>
      </c>
      <c r="H71" s="275">
        <f t="shared" si="60"/>
        <v>5.4274921962742599</v>
      </c>
      <c r="I71" s="275">
        <f t="shared" si="60"/>
        <v>0.52044353545684729</v>
      </c>
      <c r="J71" s="275">
        <f t="shared" si="60"/>
        <v>2.9282936447666112</v>
      </c>
      <c r="K71" s="275">
        <f t="shared" si="60"/>
        <v>1.3075353709806139</v>
      </c>
      <c r="L71" s="275">
        <f t="shared" si="60"/>
        <v>1.4015990326449916</v>
      </c>
      <c r="M71" s="275">
        <f t="shared" si="60"/>
        <v>0.41944642877602301</v>
      </c>
      <c r="N71" s="275">
        <f t="shared" si="60"/>
        <v>0.50102235744433465</v>
      </c>
      <c r="O71" s="275">
        <f t="shared" si="60"/>
        <v>2.4224549906192032</v>
      </c>
      <c r="P71" s="275">
        <f t="shared" si="60"/>
        <v>1.2314618887800208</v>
      </c>
      <c r="Q71" s="275">
        <f t="shared" si="60"/>
        <v>-5.1354884861699375E-2</v>
      </c>
      <c r="R71" s="275">
        <f t="shared" si="60"/>
        <v>-4.3463951023819336E-2</v>
      </c>
      <c r="S71" s="275">
        <f t="shared" si="60"/>
        <v>25.805841191703422</v>
      </c>
      <c r="T71" s="275">
        <f t="shared" si="60"/>
        <v>3.7238849485921075</v>
      </c>
      <c r="U71" s="275">
        <f t="shared" si="60"/>
        <v>3.5280734434743524</v>
      </c>
    </row>
    <row r="72" spans="3:21" x14ac:dyDescent="0.2">
      <c r="C72" s="269" t="s">
        <v>213</v>
      </c>
      <c r="D72" s="274" t="s">
        <v>286</v>
      </c>
      <c r="E72" s="275">
        <f t="shared" si="60"/>
        <v>110.57777777777778</v>
      </c>
      <c r="F72" s="275">
        <f t="shared" si="60"/>
        <v>1.025655144694533</v>
      </c>
      <c r="G72" s="275">
        <f t="shared" si="60"/>
        <v>3.5754808314033701E-2</v>
      </c>
      <c r="H72" s="275">
        <f t="shared" si="60"/>
        <v>29.994425702247167</v>
      </c>
      <c r="I72" s="275">
        <f t="shared" si="60"/>
        <v>0.31659691942349782</v>
      </c>
      <c r="J72" s="275">
        <f t="shared" si="60"/>
        <v>5.1051528092761016</v>
      </c>
      <c r="K72" s="275">
        <f t="shared" si="60"/>
        <v>1.1382860001739559</v>
      </c>
      <c r="L72" s="275">
        <f t="shared" si="60"/>
        <v>1.3636851262386003</v>
      </c>
      <c r="M72" s="275">
        <f t="shared" si="60"/>
        <v>0.41070653871319468</v>
      </c>
      <c r="N72" s="275">
        <f t="shared" si="60"/>
        <v>0.45446729288159327</v>
      </c>
      <c r="O72" s="275">
        <f t="shared" si="60"/>
        <v>2.777929156698002</v>
      </c>
      <c r="P72" s="275">
        <f t="shared" si="60"/>
        <v>1.1811892038428695</v>
      </c>
      <c r="Q72" s="275">
        <f t="shared" si="60"/>
        <v>4.9599412122293254E-2</v>
      </c>
      <c r="R72" s="275">
        <f t="shared" si="60"/>
        <v>3.8477530796349711E-2</v>
      </c>
      <c r="S72" s="275">
        <f t="shared" si="60"/>
        <v>6.0737007566903838</v>
      </c>
      <c r="T72" s="275">
        <f t="shared" si="60"/>
        <v>23.800144151571967</v>
      </c>
      <c r="U72" s="275">
        <f t="shared" si="60"/>
        <v>3.6455859768119914</v>
      </c>
    </row>
  </sheetData>
  <phoneticPr fontId="0" type="noConversion"/>
  <printOptions gridLinesSet="0"/>
  <pageMargins left="0.59055118110236227" right="0" top="0.39370078740157483" bottom="0.39370078740157483" header="0.51181102362204722" footer="0.31496062992125984"/>
  <pageSetup paperSize="9" scale="90" orientation="portrait" horizontalDpi="300" verticalDpi="300" r:id="rId1"/>
  <headerFooter alignWithMargins="0">
    <oddFooter>&amp;C&amp;F / 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66" transitionEvaluation="1" transitionEntry="1" codeName="List7">
    <pageSetUpPr fitToPage="1"/>
  </sheetPr>
  <dimension ref="B2:X88"/>
  <sheetViews>
    <sheetView showGridLines="0" topLeftCell="A66" zoomScale="130" zoomScaleNormal="130" workbookViewId="0">
      <selection activeCell="T1" sqref="T1:T1048576"/>
    </sheetView>
  </sheetViews>
  <sheetFormatPr defaultColWidth="9.83203125" defaultRowHeight="11.25" outlineLevelCol="1" x14ac:dyDescent="0.2"/>
  <cols>
    <col min="1" max="1" width="2.1640625" customWidth="1"/>
    <col min="2" max="2" width="42" style="273" customWidth="1"/>
    <col min="3" max="8" width="6.5" style="273" hidden="1" customWidth="1" outlineLevel="1"/>
    <col min="9" max="9" width="6.5" style="273" bestFit="1" customWidth="1" collapsed="1"/>
    <col min="10" max="20" width="6.5" style="273" bestFit="1" customWidth="1"/>
    <col min="21" max="21" width="6.5" style="273" customWidth="1"/>
    <col min="22" max="32" width="9.83203125" customWidth="1"/>
    <col min="40" max="40" width="3.83203125" customWidth="1"/>
    <col min="52" max="52" width="3.83203125" customWidth="1"/>
    <col min="119" max="119" width="4.83203125" customWidth="1"/>
  </cols>
  <sheetData>
    <row r="2" spans="2:24" x14ac:dyDescent="0.2">
      <c r="B2" s="267" t="s">
        <v>328</v>
      </c>
      <c r="C2" s="268">
        <f>Výkazy!I$3</f>
        <v>2007</v>
      </c>
      <c r="D2" s="268">
        <f>Výkazy!J$3</f>
        <v>2008</v>
      </c>
      <c r="E2" s="268">
        <f>Výkazy!K$3</f>
        <v>2009</v>
      </c>
      <c r="F2" s="268">
        <f>Výkazy!L$3</f>
        <v>2010</v>
      </c>
      <c r="G2" s="268">
        <f>Výkazy!M$3</f>
        <v>2011</v>
      </c>
      <c r="H2" s="268">
        <f>Výkazy!N$3</f>
        <v>2012</v>
      </c>
      <c r="I2" s="268">
        <f>Výkazy!O$3</f>
        <v>2013</v>
      </c>
      <c r="J2" s="268">
        <f>Výkazy!P$3</f>
        <v>2014</v>
      </c>
      <c r="K2" s="268">
        <f>Výkazy!Q$3</f>
        <v>2015</v>
      </c>
      <c r="L2" s="268">
        <f>Výkazy!R$3</f>
        <v>2016</v>
      </c>
      <c r="M2" s="268">
        <f>Výkazy!S$3</f>
        <v>2017</v>
      </c>
      <c r="N2" s="268">
        <f>Výkazy!T$3</f>
        <v>2018</v>
      </c>
      <c r="O2" s="268">
        <f>Výkazy!U$3</f>
        <v>2019</v>
      </c>
      <c r="P2" s="268">
        <f>Výkazy!V$3</f>
        <v>2020</v>
      </c>
      <c r="Q2" s="268">
        <f>Výkazy!W$3</f>
        <v>2021</v>
      </c>
      <c r="R2" s="268">
        <f>Výkazy!X$3</f>
        <v>2022</v>
      </c>
      <c r="S2" s="268">
        <f>Výkazy!Y$3</f>
        <v>2023</v>
      </c>
      <c r="T2" s="268">
        <f>Výkazy!Z$3</f>
        <v>2024</v>
      </c>
      <c r="U2" s="319"/>
    </row>
    <row r="3" spans="2:24" x14ac:dyDescent="0.2">
      <c r="B3" s="276" t="s">
        <v>237</v>
      </c>
      <c r="C3" s="270">
        <f>Výkazy!I4+Výkazy!I8</f>
        <v>101675</v>
      </c>
      <c r="D3" s="270">
        <f>Výkazy!J4+Výkazy!J8</f>
        <v>146442</v>
      </c>
      <c r="E3" s="270">
        <f>Výkazy!K4+Výkazy!K8</f>
        <v>181052.37263999999</v>
      </c>
      <c r="F3" s="270">
        <f>Výkazy!L4+Výkazy!L8</f>
        <v>224579.17426</v>
      </c>
      <c r="G3" s="270">
        <f>Výkazy!M4+Výkazy!M8</f>
        <v>312176.34346</v>
      </c>
      <c r="H3" s="270">
        <f>Výkazy!N4+Výkazy!N8</f>
        <v>352763.65401999996</v>
      </c>
      <c r="I3" s="270">
        <f>Výkazy!O4+Výkazy!O8</f>
        <v>395822.54802999995</v>
      </c>
      <c r="J3" s="270">
        <f>Výkazy!P4+Výkazy!P8</f>
        <v>416531.87993</v>
      </c>
      <c r="K3" s="270">
        <f>Výkazy!Q4+Výkazy!Q8</f>
        <v>443104.50302999996</v>
      </c>
      <c r="L3" s="270">
        <f>Výkazy!R4+Výkazy!R8</f>
        <v>406108.14801999996</v>
      </c>
      <c r="M3" s="270">
        <f>Výkazy!S4+Výkazy!S8</f>
        <v>403064.01548</v>
      </c>
      <c r="N3" s="270">
        <f>Výkazy!T4+Výkazy!T8</f>
        <v>385874.04248</v>
      </c>
      <c r="O3" s="270">
        <f>Výkazy!U4+Výkazy!U8</f>
        <v>389927.51297000004</v>
      </c>
      <c r="P3" s="270">
        <f>Výkazy!V4+Výkazy!V8</f>
        <v>270523.63186999998</v>
      </c>
      <c r="Q3" s="270">
        <f>Výkazy!W4+Výkazy!W8</f>
        <v>294613.65986000001</v>
      </c>
      <c r="R3" s="270">
        <f>Výkazy!X4+Výkazy!X8</f>
        <v>297953.84255</v>
      </c>
      <c r="S3" s="270">
        <f>Výkazy!Y4+Výkazy!Y8</f>
        <v>286345.73436</v>
      </c>
      <c r="T3" s="270">
        <f>Výkazy!Z4+Výkazy!Z8</f>
        <v>208824.95981</v>
      </c>
      <c r="U3" s="320"/>
      <c r="V3" s="318">
        <f>P3/O3-1</f>
        <v>-0.30622071315390009</v>
      </c>
      <c r="W3" s="318">
        <f>Q3/P3-1</f>
        <v>8.9049625067788796E-2</v>
      </c>
      <c r="X3" s="318">
        <f>R3/Q3-1</f>
        <v>1.1337501090707081E-2</v>
      </c>
    </row>
    <row r="4" spans="2:24" x14ac:dyDescent="0.2">
      <c r="B4" s="269" t="s">
        <v>5</v>
      </c>
      <c r="C4" s="270">
        <f>Výkazy!I6</f>
        <v>0</v>
      </c>
      <c r="D4" s="270">
        <f>Výkazy!J6</f>
        <v>0</v>
      </c>
      <c r="E4" s="270">
        <f>Výkazy!K6</f>
        <v>0</v>
      </c>
      <c r="F4" s="270">
        <f>Výkazy!L6</f>
        <v>-4.0369700000000002</v>
      </c>
      <c r="G4" s="270">
        <f>Výkazy!M6</f>
        <v>-54.584150000000001</v>
      </c>
      <c r="H4" s="270">
        <f>Výkazy!N6</f>
        <v>0</v>
      </c>
      <c r="I4" s="270">
        <f>Výkazy!O6</f>
        <v>0</v>
      </c>
      <c r="J4" s="270">
        <f>Výkazy!P6</f>
        <v>0</v>
      </c>
      <c r="K4" s="270">
        <f>Výkazy!Q6</f>
        <v>0</v>
      </c>
      <c r="L4" s="270">
        <f>Výkazy!R6</f>
        <v>0</v>
      </c>
      <c r="M4" s="270">
        <f>Výkazy!S6</f>
        <v>0</v>
      </c>
      <c r="N4" s="270">
        <f>Výkazy!T6</f>
        <v>0</v>
      </c>
      <c r="O4" s="270">
        <f>Výkazy!U6</f>
        <v>0</v>
      </c>
      <c r="P4" s="270">
        <f>Výkazy!V6</f>
        <v>0</v>
      </c>
      <c r="Q4" s="270">
        <f>Výkazy!W6</f>
        <v>0</v>
      </c>
      <c r="R4" s="270">
        <f>Výkazy!X6</f>
        <v>0</v>
      </c>
      <c r="S4" s="270">
        <f>Výkazy!Y6</f>
        <v>0</v>
      </c>
      <c r="T4" s="270">
        <f>Výkazy!Z6</f>
        <v>0</v>
      </c>
      <c r="U4" s="320"/>
      <c r="W4">
        <f>9*Q3/12</f>
        <v>220960.24489500001</v>
      </c>
    </row>
    <row r="5" spans="2:24" x14ac:dyDescent="0.2">
      <c r="B5" s="269" t="s">
        <v>13</v>
      </c>
      <c r="C5" s="270">
        <f>Výkazy!I14</f>
        <v>15985</v>
      </c>
      <c r="D5" s="270">
        <f>Výkazy!J14</f>
        <v>25522</v>
      </c>
      <c r="E5" s="270">
        <f>Výkazy!K14</f>
        <v>28948.454839999991</v>
      </c>
      <c r="F5" s="270">
        <f>Výkazy!L14</f>
        <v>29002.66274</v>
      </c>
      <c r="G5" s="270">
        <f>Výkazy!M14</f>
        <v>60024.562019999983</v>
      </c>
      <c r="H5" s="270">
        <f>Výkazy!N14</f>
        <v>71886.905439999944</v>
      </c>
      <c r="I5" s="270">
        <f>Výkazy!O14</f>
        <v>105245.07349999994</v>
      </c>
      <c r="J5" s="270">
        <f>Výkazy!P14</f>
        <v>126358.09682000004</v>
      </c>
      <c r="K5" s="270">
        <f>Výkazy!Q14</f>
        <v>157520.52373999992</v>
      </c>
      <c r="L5" s="270">
        <f>Výkazy!R14</f>
        <v>175923.35196999996</v>
      </c>
      <c r="M5" s="270">
        <f>Výkazy!S14</f>
        <v>164838.30976999999</v>
      </c>
      <c r="N5" s="270">
        <f>Výkazy!T14</f>
        <v>173839.33655999997</v>
      </c>
      <c r="O5" s="270">
        <f>Výkazy!U14</f>
        <v>175532.74385000006</v>
      </c>
      <c r="P5" s="270">
        <f>Výkazy!V14</f>
        <v>120834.96232999998</v>
      </c>
      <c r="Q5" s="270">
        <f>Výkazy!W14</f>
        <v>131973.0583</v>
      </c>
      <c r="R5" s="270">
        <f>Výkazy!X14</f>
        <v>127644.27575999999</v>
      </c>
      <c r="S5" s="270">
        <f>Výkazy!Y14</f>
        <v>138180.31218000001</v>
      </c>
      <c r="T5" s="270">
        <f>Výkazy!Z14</f>
        <v>97591.451689999987</v>
      </c>
      <c r="U5" s="320"/>
    </row>
    <row r="6" spans="2:24" x14ac:dyDescent="0.2">
      <c r="B6" s="269" t="s">
        <v>209</v>
      </c>
      <c r="C6" s="270">
        <f>Výkazy!I33</f>
        <v>588</v>
      </c>
      <c r="D6" s="270">
        <f>Výkazy!J33</f>
        <v>10799</v>
      </c>
      <c r="E6" s="270">
        <f>Výkazy!K33</f>
        <v>14843.878549999992</v>
      </c>
      <c r="F6" s="270">
        <f>Výkazy!L33</f>
        <v>2373.5681700000014</v>
      </c>
      <c r="G6" s="270">
        <f>Výkazy!M33</f>
        <v>12882.522719999983</v>
      </c>
      <c r="H6" s="270">
        <f>Výkazy!N33</f>
        <v>6704.6256699999522</v>
      </c>
      <c r="I6" s="270">
        <f>Výkazy!O33</f>
        <v>19633.112739999942</v>
      </c>
      <c r="J6" s="270">
        <f>Výkazy!P33</f>
        <v>25670.98935000004</v>
      </c>
      <c r="K6" s="270">
        <f>Výkazy!Q33</f>
        <v>35980.43383999994</v>
      </c>
      <c r="L6" s="270">
        <f>Výkazy!R33</f>
        <v>15091.864479999942</v>
      </c>
      <c r="M6" s="270">
        <f>Výkazy!S33</f>
        <v>7561.3615199999886</v>
      </c>
      <c r="N6" s="270">
        <f>Výkazy!T33</f>
        <v>18317.057949999977</v>
      </c>
      <c r="O6" s="270">
        <f>Výkazy!U33</f>
        <v>22556.758780000069</v>
      </c>
      <c r="P6" s="270">
        <f>Výkazy!V33</f>
        <v>-1158.3997500000301</v>
      </c>
      <c r="Q6" s="270">
        <f>Výkazy!W33</f>
        <v>50.348630000005869</v>
      </c>
      <c r="R6" s="270">
        <f>Výkazy!X33</f>
        <v>1299.2887499999861</v>
      </c>
      <c r="S6" s="270">
        <f>Výkazy!Y33</f>
        <v>4838.4018200000019</v>
      </c>
      <c r="T6" s="270">
        <f>Výkazy!Z33</f>
        <v>17070.23696999998</v>
      </c>
      <c r="U6" s="320"/>
      <c r="V6">
        <f>S3/E3</f>
        <v>1.5815630040339914</v>
      </c>
    </row>
    <row r="7" spans="2:24" x14ac:dyDescent="0.2">
      <c r="B7" s="269" t="s">
        <v>239</v>
      </c>
      <c r="C7" s="270">
        <f>Výkazy!I64</f>
        <v>135</v>
      </c>
      <c r="D7" s="270">
        <f>Výkazy!J64</f>
        <v>12656</v>
      </c>
      <c r="E7" s="270">
        <f>Výkazy!K64</f>
        <v>12792.519999999993</v>
      </c>
      <c r="F7" s="270">
        <f>Výkazy!L64</f>
        <v>437.72077000000218</v>
      </c>
      <c r="G7" s="270">
        <f>Výkazy!M64</f>
        <v>13630.588699999982</v>
      </c>
      <c r="H7" s="270">
        <f>Výkazy!N64</f>
        <v>4291.0395799999515</v>
      </c>
      <c r="I7" s="270">
        <f>Výkazy!O64</f>
        <v>21870.748049999944</v>
      </c>
      <c r="J7" s="270">
        <f>Výkazy!P64</f>
        <v>24952.726130000039</v>
      </c>
      <c r="K7" s="270">
        <f>Výkazy!Q64</f>
        <v>33930.464969999943</v>
      </c>
      <c r="L7" s="270">
        <f>Výkazy!R64</f>
        <v>13948.207349999942</v>
      </c>
      <c r="M7" s="270">
        <f>Výkazy!S64</f>
        <v>6426.884079999988</v>
      </c>
      <c r="N7" s="270">
        <f>Výkazy!T64</f>
        <v>17725.823049999974</v>
      </c>
      <c r="O7" s="270">
        <f>Výkazy!U64</f>
        <v>21062.87077000007</v>
      </c>
      <c r="P7" s="270">
        <f>Výkazy!V64</f>
        <v>1039.8309599999702</v>
      </c>
      <c r="Q7" s="270">
        <f>Výkazy!W64</f>
        <v>130.59229000000619</v>
      </c>
      <c r="R7" s="270">
        <f>Výkazy!X64</f>
        <v>300.68518999998685</v>
      </c>
      <c r="S7" s="270">
        <f>Výkazy!Y64</f>
        <v>5719.8669800000016</v>
      </c>
      <c r="T7" s="270">
        <f>Výkazy!Z64</f>
        <v>16917.126489999981</v>
      </c>
      <c r="U7" s="320"/>
    </row>
    <row r="8" spans="2:24" x14ac:dyDescent="0.2">
      <c r="B8" s="269" t="s">
        <v>238</v>
      </c>
      <c r="C8" s="277">
        <f>Výkazy!I63</f>
        <v>90</v>
      </c>
      <c r="D8" s="277">
        <f>Výkazy!J63</f>
        <v>9952</v>
      </c>
      <c r="E8" s="277">
        <f>Výkazy!K63</f>
        <v>10207.319999999992</v>
      </c>
      <c r="F8" s="277">
        <f>Výkazy!L63</f>
        <v>364.96077000000219</v>
      </c>
      <c r="G8" s="277">
        <f>Výkazy!M63</f>
        <v>10946.788699999983</v>
      </c>
      <c r="H8" s="277">
        <f>Výkazy!N63</f>
        <v>3465.7195799999513</v>
      </c>
      <c r="I8" s="277">
        <f>Výkazy!O63</f>
        <v>17693.028049999943</v>
      </c>
      <c r="J8" s="277">
        <f>Výkazy!P63</f>
        <v>20139.726130000039</v>
      </c>
      <c r="K8" s="277">
        <f>Výkazy!Q63</f>
        <v>27464.244969999942</v>
      </c>
      <c r="L8" s="277">
        <f>Výkazy!R63</f>
        <v>11279.744989999943</v>
      </c>
      <c r="M8" s="277">
        <f>Výkazy!S63</f>
        <v>5126.2751699999881</v>
      </c>
      <c r="N8" s="277">
        <f>Výkazy!T63</f>
        <v>14240.429259999974</v>
      </c>
      <c r="O8" s="277">
        <f>Výkazy!U63</f>
        <v>16820.641300000072</v>
      </c>
      <c r="P8" s="277">
        <f>Výkazy!V63</f>
        <v>834.29391999997017</v>
      </c>
      <c r="Q8" s="277">
        <f>Výkazy!W63</f>
        <v>32.101570000006177</v>
      </c>
      <c r="R8" s="277">
        <f>Výkazy!X63</f>
        <v>194.97532999998685</v>
      </c>
      <c r="S8" s="277">
        <f>Výkazy!Y63</f>
        <v>4640.4409600000017</v>
      </c>
      <c r="T8" s="277">
        <f>Výkazy!Z63</f>
        <v>16917.126489999981</v>
      </c>
      <c r="U8"/>
    </row>
    <row r="9" spans="2:24" x14ac:dyDescent="0.2">
      <c r="B9" s="269" t="s">
        <v>240</v>
      </c>
      <c r="C9" s="270">
        <f>Výkazy!I64+Výkazy!I46</f>
        <v>399</v>
      </c>
      <c r="D9" s="270">
        <f>Výkazy!J64+Výkazy!J46</f>
        <v>12657</v>
      </c>
      <c r="E9" s="270">
        <f>Výkazy!K64+Výkazy!K46</f>
        <v>12882.433749999993</v>
      </c>
      <c r="F9" s="270">
        <f>Výkazy!L64+Výkazy!L46</f>
        <v>483.87666000000218</v>
      </c>
      <c r="G9" s="270">
        <f>Výkazy!M64+Výkazy!M46</f>
        <v>13744.708999999983</v>
      </c>
      <c r="H9" s="270">
        <f>Výkazy!N64+Výkazy!N46</f>
        <v>4784.2851799999517</v>
      </c>
      <c r="I9" s="270">
        <f>Výkazy!O64+Výkazy!O46</f>
        <v>22454.683549999943</v>
      </c>
      <c r="J9" s="270">
        <f>Výkazy!P64+Výkazy!P46</f>
        <v>25419.81871000004</v>
      </c>
      <c r="K9" s="270">
        <f>Výkazy!Q64+Výkazy!Q46</f>
        <v>34678.297089999942</v>
      </c>
      <c r="L9" s="270">
        <f>Výkazy!R64+Výkazy!R46</f>
        <v>14784.941619999943</v>
      </c>
      <c r="M9" s="270">
        <f>Výkazy!S64+Výkazy!S46</f>
        <v>7093.0901399999884</v>
      </c>
      <c r="N9" s="270">
        <f>Výkazy!T64+Výkazy!T46</f>
        <v>18180.814989999973</v>
      </c>
      <c r="O9" s="270">
        <f>Výkazy!U64+Výkazy!U46</f>
        <v>21431.20533000007</v>
      </c>
      <c r="P9" s="270">
        <f>Výkazy!V64+Výkazy!V46</f>
        <v>1231.3011999999703</v>
      </c>
      <c r="Q9" s="270">
        <f>Výkazy!W64+Výkazy!W46</f>
        <v>439.1675300000062</v>
      </c>
      <c r="R9" s="270">
        <f>Výkazy!X64+Výkazy!X46</f>
        <v>1680.1149799999871</v>
      </c>
      <c r="S9" s="270">
        <f>Výkazy!Y64+Výkazy!Y46</f>
        <v>6677.4901700000019</v>
      </c>
      <c r="T9" s="270">
        <f>Výkazy!Z64+Výkazy!Z46</f>
        <v>17554.101129999981</v>
      </c>
      <c r="U9" s="320"/>
    </row>
    <row r="10" spans="2:24" x14ac:dyDescent="0.2">
      <c r="B10" s="276" t="s">
        <v>241</v>
      </c>
      <c r="C10" s="278">
        <f>IF((Výkazy!I$4+Výkazy!I$8)=0,"---",Trendy!D$10/(Výkazy!I$4+Výkazy!I$8))</f>
        <v>8.8517334644701252E-4</v>
      </c>
      <c r="D10" s="278">
        <f>IF((Výkazy!J$4+Výkazy!J$8)=0,"---",Trendy!E$10/(Výkazy!J$4+Výkazy!J$8))</f>
        <v>6.7958645743707413E-2</v>
      </c>
      <c r="E10" s="278">
        <f>IF((Výkazy!K$4+Výkazy!K$8)=0,"---",Trendy!F$10/(Výkazy!K$4+Výkazy!K$8))</f>
        <v>5.6377720165512395E-2</v>
      </c>
      <c r="F10" s="278">
        <f>IF((Výkazy!L$4+Výkazy!L$8)=0,"---",Trendy!G$10/(Výkazy!L$4+Výkazy!L$8))</f>
        <v>1.62508732700869E-3</v>
      </c>
      <c r="G10" s="278">
        <f>IF((Výkazy!M$4+Výkazy!M$8)=0,"---",Trendy!H$10/(Výkazy!M$4+Výkazy!M$8))</f>
        <v>3.5066041772004494E-2</v>
      </c>
      <c r="H10" s="278">
        <f>IF((Výkazy!N$4+Výkazy!N$8)=0,"---",Trendy!I$10/(Výkazy!N$4+Výkazy!N$8))</f>
        <v>9.8244803298342693E-3</v>
      </c>
      <c r="I10" s="278">
        <f>IF((Výkazy!O$4+Výkazy!O$8)=0,"---",Trendy!J$10/(Výkazy!O$4+Výkazy!O$8))</f>
        <v>4.4699394054375508E-2</v>
      </c>
      <c r="J10" s="278">
        <f>IF((Výkazy!P$4+Výkazy!P$8)=0,"---",Trendy!K$10/(Výkazy!P$4+Výkazy!P$8))</f>
        <v>4.8350983683132752E-2</v>
      </c>
      <c r="K10" s="278">
        <f>IF((Výkazy!Q$4+Výkazy!Q$8)=0,"---",Trendy!L$10/(Výkazy!Q$4+Výkazy!Q$8))</f>
        <v>6.1981416984472626E-2</v>
      </c>
      <c r="L10" s="278">
        <f>IF((Výkazy!R$4+Výkazy!R$8)=0,"---",Trendy!M$10/(Výkazy!R$4+Výkazy!R$8))</f>
        <v>2.7775224518382328E-2</v>
      </c>
      <c r="M10" s="278">
        <f>IF((Výkazy!S$4+Výkazy!S$8)=0,"---",Trendy!N$10/(Výkazy!S$4+Výkazy!S$8))</f>
        <v>1.2718265518928105E-2</v>
      </c>
      <c r="N10" s="278">
        <f>IF((Výkazy!T$4+Výkazy!T$8)=0,"---",Trendy!O$10/(Výkazy!T$4+Výkazy!T$8))</f>
        <v>3.6904346217426789E-2</v>
      </c>
      <c r="O10" s="278">
        <f>IF((Výkazy!U$4+Výkazy!U$8)=0,"---",Trendy!P$10/(Výkazy!U$4+Výkazy!U$8))</f>
        <v>4.3137867271484907E-2</v>
      </c>
      <c r="P10" s="278">
        <f>IF((Výkazy!V$4+Výkazy!V$8)=0,"---",Trendy!Q$10/(Výkazy!V$4+Výkazy!V$8))</f>
        <v>3.0839964487867359E-3</v>
      </c>
      <c r="Q10" s="278">
        <f>IF((Výkazy!W$4+Výkazy!W$8)=0,"---",Trendy!R$10/(Výkazy!W$4+Výkazy!W$8))</f>
        <v>1.0896158044830914E-4</v>
      </c>
      <c r="R10" s="278">
        <f>IF((Výkazy!X$4+Výkazy!X$8)=0,"---",Trendy!S$10/(Výkazy!X$4+Výkazy!X$8))</f>
        <v>6.5438098844879914E-4</v>
      </c>
      <c r="S10" s="278">
        <f>IF((Výkazy!Y$4+Výkazy!Y$8)=0,"---",Trendy!T$10/(Výkazy!Y$4+Výkazy!Y$8))</f>
        <v>1.6205727563470319E-2</v>
      </c>
      <c r="T10" s="278">
        <f>IF((Výkazy!Z$4+Výkazy!Z$8)=0,"---",Trendy!U$10/(Výkazy!Z$4+Výkazy!Z$8))</f>
        <v>8.1011036733310407E-2</v>
      </c>
      <c r="U10" s="321"/>
    </row>
    <row r="11" spans="2:24" x14ac:dyDescent="0.2">
      <c r="B11" s="276" t="s">
        <v>242</v>
      </c>
      <c r="C11" s="278">
        <f>IF((Výkazy!I$4+Výkazy!I$8)=0,"---",Výkazy!I$33/(Výkazy!I$4+Výkazy!I$8))</f>
        <v>5.7831325301204821E-3</v>
      </c>
      <c r="D11" s="278">
        <f>IF((Výkazy!J$4+Výkazy!J$8)=0,"---",Výkazy!J$33/(Výkazy!J$4+Výkazy!J$8))</f>
        <v>7.3742505565343272E-2</v>
      </c>
      <c r="E11" s="278">
        <f>IF((Výkazy!K$4+Výkazy!K$8)=0,"---",Výkazy!K$33/(Výkazy!K$4+Výkazy!K$8))</f>
        <v>8.1986655759078E-2</v>
      </c>
      <c r="F11" s="278">
        <f>IF((Výkazy!L$4+Výkazy!L$8)=0,"---",Výkazy!L$33/(Výkazy!L$4+Výkazy!L$8))</f>
        <v>1.0568959378450968E-2</v>
      </c>
      <c r="G11" s="278">
        <f>IF((Výkazy!M$4+Výkazy!M$8)=0,"---",Výkazy!M$33/(Výkazy!M$4+Výkazy!M$8))</f>
        <v>4.1266812780292095E-2</v>
      </c>
      <c r="H11" s="278">
        <f>IF((Výkazy!N$4+Výkazy!N$8)=0,"---",Výkazy!N$33/(Výkazy!N$4+Výkazy!N$8))</f>
        <v>1.9005999040989163E-2</v>
      </c>
      <c r="I11" s="278">
        <f>IF((Výkazy!O$4+Výkazy!O$8)=0,"---",Výkazy!O$33/(Výkazy!O$4+Výkazy!O$8))</f>
        <v>4.9600794188490546E-2</v>
      </c>
      <c r="J11" s="278">
        <f>IF((Výkazy!P$4+Výkazy!P$8)=0,"---",Výkazy!P$33/(Výkazy!P$4+Výkazy!P$8))</f>
        <v>6.1630311116436423E-2</v>
      </c>
      <c r="K11" s="278">
        <f>IF((Výkazy!Q$4+Výkazy!Q$8)=0,"---",Výkazy!Q$33/(Výkazy!Q$4+Výkazy!Q$8))</f>
        <v>8.1200785805518927E-2</v>
      </c>
      <c r="L11" s="278">
        <f>IF((Výkazy!R$4+Výkazy!R$8)=0,"---",Výkazy!R$33/(Výkazy!R$4+Výkazy!R$8))</f>
        <v>3.7162180945103075E-2</v>
      </c>
      <c r="M11" s="278">
        <f>IF((Výkazy!S$4+Výkazy!S$8)=0,"---",Výkazy!S$33/(Výkazy!S$4+Výkazy!S$8))</f>
        <v>1.8759703743325563E-2</v>
      </c>
      <c r="N11" s="278">
        <f>IF((Výkazy!T$4+Výkazy!T$8)=0,"---",Výkazy!T$33/(Výkazy!T$4+Výkazy!T$8))</f>
        <v>4.746900784586814E-2</v>
      </c>
      <c r="O11" s="278">
        <f>IF((Výkazy!U$4+Výkazy!U$8)=0,"---",Výkazy!U$33/(Výkazy!U$4+Výkazy!U$8))</f>
        <v>5.7848595007286716E-2</v>
      </c>
      <c r="P11" s="278">
        <f>IF((Výkazy!V$4+Výkazy!V$8)=0,"---",Výkazy!V$33/(Výkazy!V$4+Výkazy!V$8))</f>
        <v>-4.2820649049865583E-3</v>
      </c>
      <c r="Q11" s="278">
        <f>IF((Výkazy!W$4+Výkazy!W$8)=0,"---",Výkazy!W$33/(Výkazy!W$4+Výkazy!W$8))</f>
        <v>1.708971336357298E-4</v>
      </c>
      <c r="R11" s="278">
        <f>IF((Výkazy!X$4+Výkazy!X$8)=0,"---",Výkazy!X$33/(Výkazy!X$4+Výkazy!X$8))</f>
        <v>4.3607047953474563E-3</v>
      </c>
      <c r="S11" s="278">
        <f>IF((Výkazy!Y$4+Výkazy!Y$8)=0,"---",Výkazy!Y$33/(Výkazy!Y$4+Výkazy!Y$8))</f>
        <v>1.6897062674302174E-2</v>
      </c>
      <c r="T11" s="278">
        <f>IF((Výkazy!Z$4+Výkazy!Z$8)=0,"---",Výkazy!Z$33/(Výkazy!Z$4+Výkazy!Z$8))</f>
        <v>8.1744236826533492E-2</v>
      </c>
      <c r="U11" s="321"/>
    </row>
    <row r="12" spans="2:24" x14ac:dyDescent="0.2">
      <c r="B12" s="279" t="s">
        <v>578</v>
      </c>
      <c r="C12" s="270">
        <f>Výkazy!I$174+Výkazy!I$175+Výkazy!I$177+Výkazy!I$192+Výkazy!I$188+Výkazy!I$193+Výkazy!I$194-Výkazy!I$133-Výkazy!I$134</f>
        <v>-1638</v>
      </c>
      <c r="D12" s="270">
        <f>Výkazy!J$174+Výkazy!J$175+Výkazy!J$177+Výkazy!J$192+Výkazy!J$188+Výkazy!J$193+Výkazy!J$194-Výkazy!J$133-Výkazy!J$134</f>
        <v>-1072</v>
      </c>
      <c r="E12" s="270">
        <f>Výkazy!K$174+Výkazy!K$175+Výkazy!K$177+Výkazy!K$192+Výkazy!K$188+Výkazy!K$193+Výkazy!K$194-Výkazy!K$133-Výkazy!K$134</f>
        <v>5770.4022000000004</v>
      </c>
      <c r="F12" s="270">
        <f>Výkazy!L$174+Výkazy!L$175+Výkazy!L$177+Výkazy!L$192+Výkazy!L$188+Výkazy!L$193+Výkazy!L$194-Výkazy!L$133-Výkazy!L$134</f>
        <v>6184.8441199999997</v>
      </c>
      <c r="G12" s="270">
        <f>Výkazy!M$174+Výkazy!M$175+Výkazy!M$177+Výkazy!M$192+Výkazy!M$188+Výkazy!M$193+Výkazy!M$194-Výkazy!M$133-Výkazy!M$134</f>
        <v>1948.9996000000001</v>
      </c>
      <c r="H12" s="270">
        <f>Výkazy!N$174+Výkazy!N$175+Výkazy!N$177+Výkazy!N$192+Výkazy!N$188+Výkazy!N$193+Výkazy!N$194-Výkazy!N$133-Výkazy!N$134</f>
        <v>26058.928379999998</v>
      </c>
      <c r="I12" s="270">
        <f>Výkazy!O$174+Výkazy!O$175+Výkazy!O$177+Výkazy!O$192+Výkazy!O$188+Výkazy!O$193+Výkazy!O$194-Výkazy!O$133-Výkazy!O$134</f>
        <v>28235.133790000004</v>
      </c>
      <c r="J12" s="270">
        <f>Výkazy!P$174+Výkazy!P$175+Výkazy!P$177+Výkazy!P$192+Výkazy!P$188+Výkazy!P$193+Výkazy!P$194-Výkazy!P$133-Výkazy!P$134</f>
        <v>26055.750759999992</v>
      </c>
      <c r="K12" s="270">
        <f>Výkazy!Q$174+Výkazy!Q$175+Výkazy!Q$177+Výkazy!Q$192+Výkazy!Q$188+Výkazy!Q$193+Výkazy!Q$194-Výkazy!Q$133-Výkazy!Q$134</f>
        <v>53006.054570000008</v>
      </c>
      <c r="L12" s="270">
        <f>Výkazy!R$174+Výkazy!R$175+Výkazy!R$177+Výkazy!R$192+Výkazy!R$188+Výkazy!R$193+Výkazy!R$194-Výkazy!R$133-Výkazy!R$134</f>
        <v>78750.332649999997</v>
      </c>
      <c r="M12" s="270">
        <f>Výkazy!S$174+Výkazy!S$175+Výkazy!S$177+Výkazy!S$192+Výkazy!S$188+Výkazy!S$193+Výkazy!S$194-Výkazy!S$133-Výkazy!S$134</f>
        <v>46716.302179999999</v>
      </c>
      <c r="N12" s="270">
        <f>Výkazy!T$174+Výkazy!T$175+Výkazy!T$177+Výkazy!T$192+Výkazy!T$188+Výkazy!T$193+Výkazy!T$194-Výkazy!T$133-Výkazy!T$134</f>
        <v>21572.508049999997</v>
      </c>
      <c r="O12" s="270">
        <f>Výkazy!U$174+Výkazy!U$175+Výkazy!U$177+Výkazy!U$192+Výkazy!U$188+Výkazy!U$193+Výkazy!U$194-Výkazy!U$133-Výkazy!U$134</f>
        <v>-13005.247300000003</v>
      </c>
      <c r="P12" s="270">
        <f>Výkazy!V$174+Výkazy!V$175+Výkazy!V$177+Výkazy!V$192+Výkazy!V$188+Výkazy!V$193+Výkazy!V$194-Výkazy!V$133-Výkazy!V$134</f>
        <v>-21311.105739999999</v>
      </c>
      <c r="Q12" s="270">
        <f>Výkazy!W$174+Výkazy!W$175+Výkazy!W$177+Výkazy!W$192+Výkazy!W$188+Výkazy!W$193+Výkazy!W$194-Výkazy!W$133-Výkazy!W$134</f>
        <v>100634.59362999999</v>
      </c>
      <c r="R12" s="270">
        <f>Výkazy!X$174+Výkazy!X$175+Výkazy!X$177+Výkazy!X$192+Výkazy!X$188+Výkazy!X$193+Výkazy!X$194-Výkazy!X$133-Výkazy!X$134</f>
        <v>102923.21557</v>
      </c>
      <c r="S12" s="270">
        <f>Výkazy!Y$174+Výkazy!Y$175+Výkazy!Y$177+Výkazy!Y$192+Výkazy!Y$188+Výkazy!Y$193+Výkazy!Y$194-Výkazy!Y$133-Výkazy!Y$134</f>
        <v>52262.566750000005</v>
      </c>
      <c r="T12" s="270">
        <f>Výkazy!Z$174+Výkazy!Z$175+Výkazy!Z$177+Výkazy!Z$192+Výkazy!Z$188+Výkazy!Z$193+Výkazy!Z$194-Výkazy!Z$133-Výkazy!Z$134</f>
        <v>44398.433249999987</v>
      </c>
      <c r="U12" s="320"/>
    </row>
    <row r="13" spans="2:24" ht="17.25" x14ac:dyDescent="0.2">
      <c r="B13" s="279" t="s">
        <v>579</v>
      </c>
      <c r="C13" s="280">
        <f>Výkazy!I$14-Výkazy!I$15-Výkazy!I$20+Výkazy!I$29-Výkazy!I$30</f>
        <v>10413</v>
      </c>
      <c r="D13" s="280">
        <f>Výkazy!J$14-Výkazy!J$15-Výkazy!J$20+Výkazy!J$29-Výkazy!J$30</f>
        <v>14420</v>
      </c>
      <c r="E13" s="280">
        <f>Výkazy!K$14-Výkazy!K$15-Výkazy!K$20+Výkazy!K$29-Výkazy!K$30</f>
        <v>10413.523389999993</v>
      </c>
      <c r="F13" s="280">
        <f>Výkazy!L$14-Výkazy!L$15-Výkazy!L$20+Výkazy!L$29-Výkazy!L$30</f>
        <v>5278.2158000000018</v>
      </c>
      <c r="G13" s="280">
        <f>Výkazy!M$14-Výkazy!M$15-Výkazy!M$20+Výkazy!M$29-Výkazy!M$30</f>
        <v>25370.295949999982</v>
      </c>
      <c r="H13" s="280">
        <f>Výkazy!N$14-Výkazy!N$15-Výkazy!N$20+Výkazy!N$29-Výkazy!N$30</f>
        <v>32275.588489999951</v>
      </c>
      <c r="I13" s="280">
        <f>Výkazy!O$14-Výkazy!O$15-Výkazy!O$20+Výkazy!O$29-Výkazy!O$30</f>
        <v>60457.005899999938</v>
      </c>
      <c r="J13" s="280">
        <f>Výkazy!P$14-Výkazy!P$15-Výkazy!P$20+Výkazy!P$29-Výkazy!P$30</f>
        <v>75320.464530000041</v>
      </c>
      <c r="K13" s="280">
        <f>Výkazy!Q$14-Výkazy!Q$15-Výkazy!Q$20+Výkazy!Q$29-Výkazy!Q$30</f>
        <v>104303.18614999994</v>
      </c>
      <c r="L13" s="280">
        <f>Výkazy!R$14-Výkazy!R$15-Výkazy!R$20+Výkazy!R$29-Výkazy!R$30</f>
        <v>108486.57902999995</v>
      </c>
      <c r="M13" s="280">
        <f>Výkazy!S$14-Výkazy!S$15-Výkazy!S$20+Výkazy!S$29-Výkazy!S$30</f>
        <v>97860.595219999988</v>
      </c>
      <c r="N13" s="280">
        <f>Výkazy!T$14-Výkazy!T$15-Výkazy!T$20+Výkazy!T$29-Výkazy!T$30</f>
        <v>98021.247509999957</v>
      </c>
      <c r="O13" s="280">
        <f>Výkazy!U$14-Výkazy!U$15-Výkazy!U$20+Výkazy!U$29-Výkazy!U$30</f>
        <v>92091.549270000076</v>
      </c>
      <c r="P13" s="280">
        <f>Výkazy!V$14-Výkazy!V$15-Výkazy!V$20+Výkazy!V$29-Výkazy!V$30</f>
        <v>44712.31574999998</v>
      </c>
      <c r="Q13" s="280">
        <f>Výkazy!W$14-Výkazy!W$15-Výkazy!W$20+Výkazy!W$29-Výkazy!W$30</f>
        <v>48585.737050000003</v>
      </c>
      <c r="R13" s="280">
        <f>Výkazy!X$14-Výkazy!X$15-Výkazy!X$20+Výkazy!X$29-Výkazy!X$30</f>
        <v>39211.090839999983</v>
      </c>
      <c r="S13" s="280">
        <f>Výkazy!Y$14-Výkazy!Y$15-Výkazy!Y$20+Výkazy!Y$29-Výkazy!Y$30</f>
        <v>57351.962840000007</v>
      </c>
      <c r="T13" s="280">
        <f>Výkazy!Z$14-Výkazy!Z$15-Výkazy!Z$20+Výkazy!Z$29-Výkazy!Z$30</f>
        <v>28666.936749999983</v>
      </c>
      <c r="U13" s="322"/>
    </row>
    <row r="14" spans="2:24" x14ac:dyDescent="0.2">
      <c r="B14" s="279" t="s">
        <v>580</v>
      </c>
      <c r="C14" s="281">
        <f>(Výkazy!I$174+Výkazy!I$175+Výkazy!I$177+Výkazy!I$192+Výkazy!I$188+Výkazy!I$193+Výkazy!I$194-Výkazy!I$133-Výkazy!I$134)/(Výkazy!I$14-Výkazy!I$15-Výkazy!I$20+Výkazy!I$29-Výkazy!I$30)</f>
        <v>-0.15730337078651685</v>
      </c>
      <c r="D14" s="281">
        <f>(Výkazy!J$174+Výkazy!J$175+Výkazy!J$177+Výkazy!J$192+Výkazy!J$188+Výkazy!J$193+Výkazy!J$194-Výkazy!J$133-Výkazy!J$134)/(Výkazy!J$14-Výkazy!J$15-Výkazy!J$20+Výkazy!J$29-Výkazy!J$30)</f>
        <v>-7.4341192787794733E-2</v>
      </c>
      <c r="E14" s="281">
        <f>(Výkazy!K$174+Výkazy!K$175+Výkazy!K$177+Výkazy!K$192+Výkazy!K$188+Výkazy!K$193+Výkazy!K$194-Výkazy!K$133-Výkazy!K$134)/(Výkazy!K$14-Výkazy!K$15-Výkazy!K$20+Výkazy!K$29-Výkazy!K$30)</f>
        <v>0.55412582119335929</v>
      </c>
      <c r="F14" s="281">
        <f>(Výkazy!L$174+Výkazy!L$175+Výkazy!L$177+Výkazy!L$192+Výkazy!L$188+Výkazy!L$193+Výkazy!L$194-Výkazy!L$133-Výkazy!L$134)/(Výkazy!L$14-Výkazy!L$15-Výkazy!L$20+Výkazy!L$29-Výkazy!L$30)</f>
        <v>1.1717679523448052</v>
      </c>
      <c r="G14" s="281">
        <f>(Výkazy!M$174+Výkazy!M$175+Výkazy!M$177+Výkazy!M$192+Výkazy!M$188+Výkazy!M$193+Výkazy!M$194-Výkazy!M$133-Výkazy!M$134)/(Výkazy!M$14-Výkazy!M$15-Výkazy!M$20+Výkazy!M$29-Výkazy!M$30)</f>
        <v>7.6822107390513178E-2</v>
      </c>
      <c r="H14" s="281">
        <f>(Výkazy!N$174+Výkazy!N$175+Výkazy!N$177+Výkazy!N$192+Výkazy!N$188+Výkazy!N$193+Výkazy!N$194-Výkazy!N$133-Výkazy!N$134)/(Výkazy!N$14-Výkazy!N$15-Výkazy!N$20+Výkazy!N$29-Výkazy!N$30)</f>
        <v>0.80738817165406351</v>
      </c>
      <c r="I14" s="281">
        <f>(Výkazy!O$174+Výkazy!O$175+Výkazy!O$177+Výkazy!O$192+Výkazy!O$188+Výkazy!O$193+Výkazy!O$194-Výkazy!O$133-Výkazy!O$134)/(Výkazy!O$14-Výkazy!O$15-Výkazy!O$20+Výkazy!O$29-Výkazy!O$30)</f>
        <v>0.46702831821845203</v>
      </c>
      <c r="J14" s="281">
        <f>(Výkazy!P$174+Výkazy!P$175+Výkazy!P$177+Výkazy!P$192+Výkazy!P$188+Výkazy!P$193+Výkazy!P$194-Výkazy!P$133-Výkazy!P$134)/(Výkazy!P$14-Výkazy!P$15-Výkazy!P$20+Výkazy!P$29-Výkazy!P$30)</f>
        <v>0.34593189145324538</v>
      </c>
      <c r="K14" s="281">
        <f>(Výkazy!Q$174+Výkazy!Q$175+Výkazy!Q$177+Výkazy!Q$192+Výkazy!Q$188+Výkazy!Q$193+Výkazy!Q$194-Výkazy!Q$133-Výkazy!Q$134)/(Výkazy!Q$14-Výkazy!Q$15-Výkazy!Q$20+Výkazy!Q$29-Výkazy!Q$30)</f>
        <v>0.50819209389990472</v>
      </c>
      <c r="L14" s="281">
        <f>(Výkazy!R$174+Výkazy!R$175+Výkazy!R$177+Výkazy!R$192+Výkazy!R$188+Výkazy!R$193+Výkazy!R$194-Výkazy!R$133-Výkazy!R$134)/(Výkazy!R$14-Výkazy!R$15-Výkazy!R$20+Výkazy!R$29-Výkazy!R$30)</f>
        <v>0.72589930804457437</v>
      </c>
      <c r="M14" s="281">
        <f>(Výkazy!S$174+Výkazy!S$175+Výkazy!S$177+Výkazy!S$192+Výkazy!S$188+Výkazy!S$193+Výkazy!S$194-Výkazy!S$133-Výkazy!S$134)/(Výkazy!S$14-Výkazy!S$15-Výkazy!S$20+Výkazy!S$29-Výkazy!S$30)</f>
        <v>0.47737602734764978</v>
      </c>
      <c r="N14" s="281">
        <f>(Výkazy!T$174+Výkazy!T$175+Výkazy!T$177+Výkazy!T$192+Výkazy!T$188+Výkazy!T$193+Výkazy!T$194-Výkazy!T$133-Výkazy!T$134)/(Výkazy!T$14-Výkazy!T$15-Výkazy!T$20+Výkazy!T$29-Výkazy!T$30)</f>
        <v>0.22007991734444318</v>
      </c>
      <c r="O14" s="281">
        <f>(Výkazy!U$174+Výkazy!U$175+Výkazy!U$177+Výkazy!U$192+Výkazy!U$188+Výkazy!U$193+Výkazy!U$194-Výkazy!U$133-Výkazy!U$134)/(Výkazy!U$14-Výkazy!U$15-Výkazy!U$20+Výkazy!U$29-Výkazy!U$30)</f>
        <v>-0.14122085471567386</v>
      </c>
      <c r="P14" s="281">
        <f>(Výkazy!V$174+Výkazy!V$175+Výkazy!V$177+Výkazy!V$192+Výkazy!V$188+Výkazy!V$193+Výkazy!V$194-Výkazy!V$133-Výkazy!V$134)/(Výkazy!V$14-Výkazy!V$15-Výkazy!V$20+Výkazy!V$29-Výkazy!V$30)</f>
        <v>-0.47662719728400577</v>
      </c>
      <c r="Q14" s="281">
        <f>(Výkazy!W$174+Výkazy!W$175+Výkazy!W$177+Výkazy!W$192+Výkazy!W$188+Výkazy!W$193+Výkazy!W$194-Výkazy!W$133-Výkazy!W$134)/(Výkazy!W$14-Výkazy!W$15-Výkazy!W$20+Výkazy!W$29-Výkazy!W$30)</f>
        <v>2.071278522057534</v>
      </c>
      <c r="R14" s="281">
        <f>(Výkazy!X$174+Výkazy!X$175+Výkazy!X$177+Výkazy!X$192+Výkazy!X$188+Výkazy!X$193+Výkazy!X$194-Výkazy!X$133-Výkazy!X$134)/(Výkazy!X$14-Výkazy!X$15-Výkazy!X$20+Výkazy!X$29-Výkazy!X$30)</f>
        <v>2.6248495863064862</v>
      </c>
      <c r="S14" s="281">
        <f>(Výkazy!Y$174+Výkazy!Y$175+Výkazy!Y$177+Výkazy!Y$192+Výkazy!Y$188+Výkazy!Y$193+Výkazy!Y$194-Výkazy!Y$133-Výkazy!Y$134)/(Výkazy!Y$14-Výkazy!Y$15-Výkazy!Y$20+Výkazy!Y$29-Výkazy!Y$30)</f>
        <v>0.91126029802679376</v>
      </c>
      <c r="T14" s="281">
        <f>(Výkazy!Z$174+Výkazy!Z$175+Výkazy!Z$177+Výkazy!Z$192+Výkazy!Z$188+Výkazy!Z$193+Výkazy!Z$194-Výkazy!Z$133-Výkazy!Z$134)/(Výkazy!Z$14-Výkazy!Z$15-Výkazy!Z$20+Výkazy!Z$29-Výkazy!Z$30)</f>
        <v>1.5487679634971816</v>
      </c>
      <c r="U14" s="323"/>
    </row>
    <row r="16" spans="2:24" x14ac:dyDescent="0.2">
      <c r="B16" s="267" t="s">
        <v>291</v>
      </c>
      <c r="C16" s="268">
        <f>Výkazy!I$3</f>
        <v>2007</v>
      </c>
      <c r="D16" s="268">
        <f>Výkazy!J$3</f>
        <v>2008</v>
      </c>
      <c r="E16" s="268">
        <f>Výkazy!K$3</f>
        <v>2009</v>
      </c>
      <c r="F16" s="268">
        <f>Výkazy!L$3</f>
        <v>2010</v>
      </c>
      <c r="G16" s="268">
        <f>Výkazy!M$3</f>
        <v>2011</v>
      </c>
      <c r="H16" s="268">
        <f>Výkazy!N$3</f>
        <v>2012</v>
      </c>
      <c r="I16" s="268">
        <f>Výkazy!O$3</f>
        <v>2013</v>
      </c>
      <c r="J16" s="268">
        <f>Výkazy!P$3</f>
        <v>2014</v>
      </c>
      <c r="K16" s="268">
        <f>Výkazy!Q$3</f>
        <v>2015</v>
      </c>
      <c r="L16" s="268">
        <f>Výkazy!R$3</f>
        <v>2016</v>
      </c>
      <c r="M16" s="268">
        <f>Výkazy!S$3</f>
        <v>2017</v>
      </c>
      <c r="N16" s="268">
        <f>Výkazy!T$3</f>
        <v>2018</v>
      </c>
      <c r="O16" s="268">
        <f>Výkazy!U$3</f>
        <v>2019</v>
      </c>
      <c r="P16" s="268">
        <f>Výkazy!V$3</f>
        <v>2020</v>
      </c>
      <c r="Q16" s="268">
        <f>Výkazy!W$3</f>
        <v>2021</v>
      </c>
      <c r="R16" s="268">
        <f>Výkazy!X$3</f>
        <v>2022</v>
      </c>
      <c r="S16" s="268">
        <f>Výkazy!Y$3</f>
        <v>2023</v>
      </c>
      <c r="T16" s="268">
        <f>Výkazy!Z$3</f>
        <v>2024</v>
      </c>
      <c r="U16" s="319"/>
    </row>
    <row r="17" spans="2:21" x14ac:dyDescent="0.2">
      <c r="B17" s="269" t="s">
        <v>5</v>
      </c>
      <c r="C17" s="270">
        <f t="shared" ref="C17:H21" si="0">C4</f>
        <v>0</v>
      </c>
      <c r="D17" s="270">
        <f t="shared" si="0"/>
        <v>0</v>
      </c>
      <c r="E17" s="270">
        <f t="shared" si="0"/>
        <v>0</v>
      </c>
      <c r="F17" s="270">
        <f t="shared" si="0"/>
        <v>-4.0369700000000002</v>
      </c>
      <c r="G17" s="270">
        <f t="shared" si="0"/>
        <v>-54.584150000000001</v>
      </c>
      <c r="H17" s="270">
        <f t="shared" si="0"/>
        <v>0</v>
      </c>
      <c r="I17" s="270">
        <f t="shared" ref="I17:J17" si="1">I4</f>
        <v>0</v>
      </c>
      <c r="J17" s="270">
        <f t="shared" si="1"/>
        <v>0</v>
      </c>
      <c r="K17" s="270">
        <f t="shared" ref="K17:L17" si="2">K4</f>
        <v>0</v>
      </c>
      <c r="L17" s="270">
        <f t="shared" si="2"/>
        <v>0</v>
      </c>
      <c r="M17" s="270">
        <f t="shared" ref="M17:N17" si="3">M4</f>
        <v>0</v>
      </c>
      <c r="N17" s="270">
        <f t="shared" si="3"/>
        <v>0</v>
      </c>
      <c r="O17" s="270">
        <f t="shared" ref="O17:P17" si="4">O4</f>
        <v>0</v>
      </c>
      <c r="P17" s="270">
        <f t="shared" si="4"/>
        <v>0</v>
      </c>
      <c r="Q17" s="270">
        <f t="shared" ref="Q17:R17" si="5">Q4</f>
        <v>0</v>
      </c>
      <c r="R17" s="270">
        <f t="shared" si="5"/>
        <v>0</v>
      </c>
      <c r="S17" s="270">
        <f t="shared" ref="S17:T17" si="6">S4</f>
        <v>0</v>
      </c>
      <c r="T17" s="270">
        <f t="shared" si="6"/>
        <v>0</v>
      </c>
      <c r="U17" s="320"/>
    </row>
    <row r="18" spans="2:21" x14ac:dyDescent="0.2">
      <c r="B18" s="269" t="s">
        <v>13</v>
      </c>
      <c r="C18" s="270">
        <f t="shared" si="0"/>
        <v>15985</v>
      </c>
      <c r="D18" s="270">
        <f t="shared" si="0"/>
        <v>25522</v>
      </c>
      <c r="E18" s="270">
        <f t="shared" si="0"/>
        <v>28948.454839999991</v>
      </c>
      <c r="F18" s="270">
        <f t="shared" si="0"/>
        <v>29002.66274</v>
      </c>
      <c r="G18" s="270">
        <f t="shared" si="0"/>
        <v>60024.562019999983</v>
      </c>
      <c r="H18" s="270">
        <f t="shared" si="0"/>
        <v>71886.905439999944</v>
      </c>
      <c r="I18" s="270">
        <f t="shared" ref="I18:J18" si="7">I5</f>
        <v>105245.07349999994</v>
      </c>
      <c r="J18" s="270">
        <f t="shared" si="7"/>
        <v>126358.09682000004</v>
      </c>
      <c r="K18" s="270">
        <f t="shared" ref="K18:L18" si="8">K5</f>
        <v>157520.52373999992</v>
      </c>
      <c r="L18" s="270">
        <f t="shared" si="8"/>
        <v>175923.35196999996</v>
      </c>
      <c r="M18" s="270">
        <f t="shared" ref="M18:N18" si="9">M5</f>
        <v>164838.30976999999</v>
      </c>
      <c r="N18" s="270">
        <f t="shared" si="9"/>
        <v>173839.33655999997</v>
      </c>
      <c r="O18" s="270">
        <f t="shared" ref="O18:P18" si="10">O5</f>
        <v>175532.74385000006</v>
      </c>
      <c r="P18" s="270">
        <f t="shared" si="10"/>
        <v>120834.96232999998</v>
      </c>
      <c r="Q18" s="270">
        <f t="shared" ref="Q18:R18" si="11">Q5</f>
        <v>131973.0583</v>
      </c>
      <c r="R18" s="270">
        <f t="shared" si="11"/>
        <v>127644.27575999999</v>
      </c>
      <c r="S18" s="270">
        <f t="shared" ref="S18:T18" si="12">S5</f>
        <v>138180.31218000001</v>
      </c>
      <c r="T18" s="270">
        <f t="shared" si="12"/>
        <v>97591.451689999987</v>
      </c>
      <c r="U18" s="320"/>
    </row>
    <row r="19" spans="2:21" x14ac:dyDescent="0.2">
      <c r="B19" s="269" t="s">
        <v>209</v>
      </c>
      <c r="C19" s="270">
        <f t="shared" si="0"/>
        <v>588</v>
      </c>
      <c r="D19" s="270">
        <f t="shared" si="0"/>
        <v>10799</v>
      </c>
      <c r="E19" s="270">
        <f t="shared" si="0"/>
        <v>14843.878549999992</v>
      </c>
      <c r="F19" s="270">
        <f t="shared" si="0"/>
        <v>2373.5681700000014</v>
      </c>
      <c r="G19" s="270">
        <f t="shared" si="0"/>
        <v>12882.522719999983</v>
      </c>
      <c r="H19" s="270">
        <f t="shared" si="0"/>
        <v>6704.6256699999522</v>
      </c>
      <c r="I19" s="270">
        <f t="shared" ref="I19:J19" si="13">I6</f>
        <v>19633.112739999942</v>
      </c>
      <c r="J19" s="270">
        <f t="shared" si="13"/>
        <v>25670.98935000004</v>
      </c>
      <c r="K19" s="270">
        <f t="shared" ref="K19:L19" si="14">K6</f>
        <v>35980.43383999994</v>
      </c>
      <c r="L19" s="270">
        <f t="shared" si="14"/>
        <v>15091.864479999942</v>
      </c>
      <c r="M19" s="270">
        <f t="shared" ref="M19:N19" si="15">M6</f>
        <v>7561.3615199999886</v>
      </c>
      <c r="N19" s="270">
        <f t="shared" si="15"/>
        <v>18317.057949999977</v>
      </c>
      <c r="O19" s="270">
        <f t="shared" ref="O19:P19" si="16">O6</f>
        <v>22556.758780000069</v>
      </c>
      <c r="P19" s="270">
        <f t="shared" si="16"/>
        <v>-1158.3997500000301</v>
      </c>
      <c r="Q19" s="270">
        <f t="shared" ref="Q19:R19" si="17">Q6</f>
        <v>50.348630000005869</v>
      </c>
      <c r="R19" s="270">
        <f t="shared" si="17"/>
        <v>1299.2887499999861</v>
      </c>
      <c r="S19" s="270">
        <f t="shared" ref="S19:T19" si="18">S6</f>
        <v>4838.4018200000019</v>
      </c>
      <c r="T19" s="270">
        <f t="shared" si="18"/>
        <v>17070.23696999998</v>
      </c>
      <c r="U19" s="320"/>
    </row>
    <row r="20" spans="2:21" x14ac:dyDescent="0.2">
      <c r="B20" s="269" t="s">
        <v>289</v>
      </c>
      <c r="C20" s="270">
        <f t="shared" si="0"/>
        <v>135</v>
      </c>
      <c r="D20" s="270">
        <f t="shared" si="0"/>
        <v>12656</v>
      </c>
      <c r="E20" s="270">
        <f t="shared" si="0"/>
        <v>12792.519999999993</v>
      </c>
      <c r="F20" s="270">
        <f t="shared" si="0"/>
        <v>437.72077000000218</v>
      </c>
      <c r="G20" s="270">
        <f t="shared" si="0"/>
        <v>13630.588699999982</v>
      </c>
      <c r="H20" s="270">
        <f t="shared" si="0"/>
        <v>4291.0395799999515</v>
      </c>
      <c r="I20" s="270">
        <f t="shared" ref="I20:J20" si="19">I7</f>
        <v>21870.748049999944</v>
      </c>
      <c r="J20" s="270">
        <f t="shared" si="19"/>
        <v>24952.726130000039</v>
      </c>
      <c r="K20" s="270">
        <f t="shared" ref="K20:L20" si="20">K7</f>
        <v>33930.464969999943</v>
      </c>
      <c r="L20" s="270">
        <f t="shared" si="20"/>
        <v>13948.207349999942</v>
      </c>
      <c r="M20" s="270">
        <f t="shared" ref="M20:N20" si="21">M7</f>
        <v>6426.884079999988</v>
      </c>
      <c r="N20" s="270">
        <f t="shared" si="21"/>
        <v>17725.823049999974</v>
      </c>
      <c r="O20" s="270">
        <f t="shared" ref="O20:P20" si="22">O7</f>
        <v>21062.87077000007</v>
      </c>
      <c r="P20" s="270">
        <f t="shared" si="22"/>
        <v>1039.8309599999702</v>
      </c>
      <c r="Q20" s="270">
        <f t="shared" ref="Q20:R20" si="23">Q7</f>
        <v>130.59229000000619</v>
      </c>
      <c r="R20" s="270">
        <f t="shared" si="23"/>
        <v>300.68518999998685</v>
      </c>
      <c r="S20" s="270">
        <f t="shared" ref="S20:T20" si="24">S7</f>
        <v>5719.8669800000016</v>
      </c>
      <c r="T20" s="270">
        <f t="shared" si="24"/>
        <v>16917.126489999981</v>
      </c>
      <c r="U20" s="320"/>
    </row>
    <row r="21" spans="2:21" x14ac:dyDescent="0.2">
      <c r="B21" s="269" t="s">
        <v>290</v>
      </c>
      <c r="C21" s="270">
        <f t="shared" si="0"/>
        <v>90</v>
      </c>
      <c r="D21" s="270">
        <f t="shared" si="0"/>
        <v>9952</v>
      </c>
      <c r="E21" s="270">
        <f t="shared" si="0"/>
        <v>10207.319999999992</v>
      </c>
      <c r="F21" s="270">
        <f t="shared" si="0"/>
        <v>364.96077000000219</v>
      </c>
      <c r="G21" s="270">
        <f t="shared" si="0"/>
        <v>10946.788699999983</v>
      </c>
      <c r="H21" s="270">
        <f t="shared" si="0"/>
        <v>3465.7195799999513</v>
      </c>
      <c r="I21" s="270">
        <f t="shared" ref="I21:J21" si="25">I8</f>
        <v>17693.028049999943</v>
      </c>
      <c r="J21" s="270">
        <f t="shared" si="25"/>
        <v>20139.726130000039</v>
      </c>
      <c r="K21" s="270">
        <f t="shared" ref="K21:L21" si="26">K8</f>
        <v>27464.244969999942</v>
      </c>
      <c r="L21" s="270">
        <f t="shared" si="26"/>
        <v>11279.744989999943</v>
      </c>
      <c r="M21" s="270">
        <f t="shared" ref="M21:N21" si="27">M8</f>
        <v>5126.2751699999881</v>
      </c>
      <c r="N21" s="270">
        <f t="shared" si="27"/>
        <v>14240.429259999974</v>
      </c>
      <c r="O21" s="270">
        <f t="shared" ref="O21:P21" si="28">O8</f>
        <v>16820.641300000072</v>
      </c>
      <c r="P21" s="270">
        <f t="shared" si="28"/>
        <v>834.29391999997017</v>
      </c>
      <c r="Q21" s="270">
        <f t="shared" ref="Q21:R21" si="29">Q8</f>
        <v>32.101570000006177</v>
      </c>
      <c r="R21" s="270">
        <f t="shared" si="29"/>
        <v>194.97532999998685</v>
      </c>
      <c r="S21" s="270">
        <f t="shared" ref="S21:T21" si="30">S8</f>
        <v>4640.4409600000017</v>
      </c>
      <c r="T21" s="270">
        <f t="shared" si="30"/>
        <v>16917.126489999981</v>
      </c>
      <c r="U21" s="320"/>
    </row>
    <row r="40" spans="2:21" ht="119.25" customHeight="1" x14ac:dyDescent="0.2"/>
    <row r="41" spans="2:21" x14ac:dyDescent="0.2">
      <c r="B41" s="267" t="s">
        <v>329</v>
      </c>
      <c r="C41" s="268">
        <f>Výkazy!I$3</f>
        <v>2007</v>
      </c>
      <c r="D41" s="268">
        <f>Výkazy!J$3</f>
        <v>2008</v>
      </c>
      <c r="E41" s="268">
        <f>Výkazy!K$3</f>
        <v>2009</v>
      </c>
      <c r="F41" s="268">
        <f>Výkazy!L$3</f>
        <v>2010</v>
      </c>
      <c r="G41" s="268">
        <f>Výkazy!M$3</f>
        <v>2011</v>
      </c>
      <c r="H41" s="268">
        <f>Výkazy!N$3</f>
        <v>2012</v>
      </c>
      <c r="I41" s="268">
        <f>Výkazy!O$3</f>
        <v>2013</v>
      </c>
      <c r="J41" s="268">
        <f>Výkazy!P$3</f>
        <v>2014</v>
      </c>
      <c r="K41" s="268">
        <f>Výkazy!Q$3</f>
        <v>2015</v>
      </c>
      <c r="L41" s="268">
        <f>Výkazy!R$3</f>
        <v>2016</v>
      </c>
      <c r="M41" s="268">
        <f>Výkazy!S$3</f>
        <v>2017</v>
      </c>
      <c r="N41" s="268">
        <f>Výkazy!T$3</f>
        <v>2018</v>
      </c>
      <c r="O41" s="268">
        <f>Výkazy!U$3</f>
        <v>2019</v>
      </c>
      <c r="P41" s="268">
        <f>Výkazy!V$3</f>
        <v>2020</v>
      </c>
      <c r="Q41" s="268">
        <f>Výkazy!W$3</f>
        <v>2021</v>
      </c>
      <c r="R41" s="268">
        <f>Výkazy!X$3</f>
        <v>2022</v>
      </c>
      <c r="S41" s="268">
        <f>Výkazy!Y$3</f>
        <v>2023</v>
      </c>
      <c r="T41" s="268">
        <f>Výkazy!Z$3</f>
        <v>2024</v>
      </c>
      <c r="U41" s="319"/>
    </row>
    <row r="42" spans="2:21" x14ac:dyDescent="0.2">
      <c r="B42" s="269" t="s">
        <v>243</v>
      </c>
      <c r="C42" s="282">
        <f>Výkazy!I12/C3</f>
        <v>0.21240226210966315</v>
      </c>
      <c r="D42" s="282">
        <f>Výkazy!J12/D3</f>
        <v>0.2318460550934841</v>
      </c>
      <c r="E42" s="282">
        <f>Výkazy!K12/E3</f>
        <v>0.22646998684479655</v>
      </c>
      <c r="F42" s="282">
        <f>Výkazy!L12/F3</f>
        <v>0.25285839444870706</v>
      </c>
      <c r="G42" s="282">
        <f>Výkazy!M12/G3</f>
        <v>0.25059462675147831</v>
      </c>
      <c r="H42" s="282">
        <f>Výkazy!N12/H3</f>
        <v>0.30906207333882185</v>
      </c>
      <c r="I42" s="282">
        <f>Výkazy!O12/I3</f>
        <v>0.27142787020272824</v>
      </c>
      <c r="J42" s="282">
        <f>Výkazy!P12/J3</f>
        <v>0.24788060012921853</v>
      </c>
      <c r="K42" s="282">
        <f>Výkazy!Q12/K3</f>
        <v>0.18923455899594632</v>
      </c>
      <c r="L42" s="282">
        <f>Výkazy!R12/L3</f>
        <v>0.15852167515937055</v>
      </c>
      <c r="M42" s="282">
        <f>Výkazy!S12/M3</f>
        <v>0.15667486283734872</v>
      </c>
      <c r="N42" s="282">
        <f>Výkazy!T12/N3</f>
        <v>0.17955713966842207</v>
      </c>
      <c r="O42" s="282">
        <f>Výkazy!U12/O3</f>
        <v>0.17821293401613952</v>
      </c>
      <c r="P42" s="282">
        <f>Výkazy!V12/P3</f>
        <v>0.19256948063980611</v>
      </c>
      <c r="Q42" s="282">
        <f>Výkazy!W12/Q3</f>
        <v>0.19657225468608658</v>
      </c>
      <c r="R42" s="282">
        <f>Výkazy!X12/R3</f>
        <v>0.24451224712020417</v>
      </c>
      <c r="S42" s="282">
        <f>Výkazy!Y12/S3</f>
        <v>0.20318587877706284</v>
      </c>
      <c r="T42" s="282">
        <f>Výkazy!Z12/T3</f>
        <v>0.21555510146371137</v>
      </c>
      <c r="U42" s="324"/>
    </row>
    <row r="43" spans="2:21" x14ac:dyDescent="0.2">
      <c r="B43" s="269" t="s">
        <v>244</v>
      </c>
      <c r="C43" s="282">
        <f>Výkazy!I13/C3</f>
        <v>0.63038111630194249</v>
      </c>
      <c r="D43" s="282">
        <f>Výkazy!J13/D3</f>
        <v>0.59387334234714084</v>
      </c>
      <c r="E43" s="282">
        <f>Výkazy!K13/E3</f>
        <v>0.61364006298282769</v>
      </c>
      <c r="F43" s="282">
        <f>Výkazy!L13/F3</f>
        <v>0.61798136704930995</v>
      </c>
      <c r="G43" s="282">
        <f>Výkazy!M13/G3</f>
        <v>0.55695278217735333</v>
      </c>
      <c r="H43" s="282">
        <f>Výkazy!N13/H3</f>
        <v>0.48715586288902912</v>
      </c>
      <c r="I43" s="282">
        <f>Výkazy!O13/I3</f>
        <v>0.46268259413589435</v>
      </c>
      <c r="J43" s="282">
        <f>Výkazy!P13/J3</f>
        <v>0.44893830667036982</v>
      </c>
      <c r="K43" s="282">
        <f>Výkazy!Q13/K3</f>
        <v>0.45510660934616326</v>
      </c>
      <c r="L43" s="282">
        <f>Výkazy!R13/L3</f>
        <v>0.40828496778112983</v>
      </c>
      <c r="M43" s="282">
        <f>Výkazy!S13/M3</f>
        <v>0.43436203592004169</v>
      </c>
      <c r="N43" s="282">
        <f>Výkazy!T13/N3</f>
        <v>0.36993487735677044</v>
      </c>
      <c r="O43" s="282">
        <f>Výkazy!U13/O3</f>
        <v>0.37161943735719039</v>
      </c>
      <c r="P43" s="282">
        <f>Výkazy!V13/P3</f>
        <v>0.36075988472940063</v>
      </c>
      <c r="Q43" s="282">
        <f>Výkazy!W13/Q3</f>
        <v>0.35547479444695973</v>
      </c>
      <c r="R43" s="282">
        <f>Výkazy!X13/R3</f>
        <v>0.3270849013925563</v>
      </c>
      <c r="S43" s="282">
        <f>Výkazy!Y13/S3</f>
        <v>0.31424953024398877</v>
      </c>
      <c r="T43" s="282">
        <f>Výkazy!Z13/T3</f>
        <v>0.3171087535716548</v>
      </c>
      <c r="U43" s="324"/>
    </row>
    <row r="44" spans="2:21" x14ac:dyDescent="0.2">
      <c r="B44" s="269" t="s">
        <v>270</v>
      </c>
      <c r="C44" s="282">
        <f>Výkazy!I15/C3</f>
        <v>4.4671748217359232E-2</v>
      </c>
      <c r="D44" s="282">
        <f>Výkazy!J15/D3</f>
        <v>6.628562843992844E-2</v>
      </c>
      <c r="E44" s="282">
        <f>Výkazy!K15/E3</f>
        <v>8.4133142128371502E-2</v>
      </c>
      <c r="F44" s="282">
        <f>Výkazy!L15/F3</f>
        <v>8.6540017185652282E-2</v>
      </c>
      <c r="G44" s="282">
        <f>Výkazy!M15/G3</f>
        <v>7.5738322506905556E-2</v>
      </c>
      <c r="H44" s="282">
        <f>Výkazy!N15/H3</f>
        <v>7.9157268646550691E-2</v>
      </c>
      <c r="I44" s="282">
        <f>Výkazy!O15/I3</f>
        <v>8.0263787669802203E-2</v>
      </c>
      <c r="J44" s="282">
        <f>Výkazy!P15/J3</f>
        <v>8.4424491892216541E-2</v>
      </c>
      <c r="K44" s="282">
        <f>Výkazy!Q15/K3</f>
        <v>8.579176763054977E-2</v>
      </c>
      <c r="L44" s="282">
        <f>Výkazy!R15/L3</f>
        <v>9.4505921137317081E-2</v>
      </c>
      <c r="M44" s="282">
        <f>Výkazy!S15/M3</f>
        <v>0.10037823510942412</v>
      </c>
      <c r="N44" s="282">
        <f>Výkazy!T15/N3</f>
        <v>0.11297467494787368</v>
      </c>
      <c r="O44" s="282">
        <f>Výkazy!U15/O3</f>
        <v>0.12260492537667672</v>
      </c>
      <c r="P44" s="282">
        <f>Výkazy!V15/P3</f>
        <v>0.1610116875147215</v>
      </c>
      <c r="Q44" s="282">
        <f>Výkazy!W15/Q3</f>
        <v>0.18589789317992145</v>
      </c>
      <c r="R44" s="282">
        <f>Výkazy!X15/R3</f>
        <v>0.20742803204368337</v>
      </c>
      <c r="S44" s="282">
        <f>Výkazy!Y15/S3</f>
        <v>0.21492474982227983</v>
      </c>
      <c r="T44" s="282">
        <f>Výkazy!Z15/T3</f>
        <v>0.22111673701272197</v>
      </c>
      <c r="U44" s="324"/>
    </row>
    <row r="45" spans="2:21" x14ac:dyDescent="0.2">
      <c r="B45" s="269" t="s">
        <v>330</v>
      </c>
      <c r="C45" s="282">
        <f>Výkazy!I21/C3</f>
        <v>2.1726088025571674E-2</v>
      </c>
      <c r="D45" s="282">
        <f>Výkazy!J21/D3</f>
        <v>1.9803061963098018E-2</v>
      </c>
      <c r="E45" s="282">
        <f>Výkazy!K21/E3</f>
        <v>2.7807512415265079E-2</v>
      </c>
      <c r="F45" s="282">
        <f>Výkazy!L21/F3</f>
        <v>3.1852062968752676E-2</v>
      </c>
      <c r="G45" s="282">
        <f>Výkazy!M21/G3</f>
        <v>3.971407068386193E-2</v>
      </c>
      <c r="H45" s="282">
        <f>Výkazy!N21/H3</f>
        <v>7.1986268144734314E-2</v>
      </c>
      <c r="I45" s="282">
        <f>Výkazy!O21/I3</f>
        <v>0.10359508093736021</v>
      </c>
      <c r="J45" s="282">
        <f>Výkazy!P21/J3</f>
        <v>0.12038967353093664</v>
      </c>
      <c r="K45" s="282">
        <f>Výkazy!Q21/K3</f>
        <v>0.15507486082881841</v>
      </c>
      <c r="L45" s="282">
        <f>Výkazy!R21/L3</f>
        <v>0.23027581814338408</v>
      </c>
      <c r="M45" s="282">
        <f>Výkazy!S21/M3</f>
        <v>0.22958244367163469</v>
      </c>
      <c r="N45" s="282">
        <f>Výkazy!T21/N3</f>
        <v>0.20684709240097934</v>
      </c>
      <c r="O45" s="282">
        <f>Výkazy!U21/O3</f>
        <v>0.17909747862642592</v>
      </c>
      <c r="P45" s="282">
        <f>Výkazy!V21/P3</f>
        <v>0.17662120000281811</v>
      </c>
      <c r="Q45" s="282">
        <f>Výkazy!W21/Q3</f>
        <v>0.1635715114937305</v>
      </c>
      <c r="R45" s="282">
        <f>Výkazy!X21/R3</f>
        <v>0.13274324100506554</v>
      </c>
      <c r="S45" s="282">
        <f>Výkazy!Y21/S3</f>
        <v>0.1866717393205452</v>
      </c>
      <c r="T45" s="282">
        <f>Výkazy!Z21/T3</f>
        <v>5.8133496403137655E-2</v>
      </c>
      <c r="U45" s="324"/>
    </row>
    <row r="47" spans="2:21" x14ac:dyDescent="0.2">
      <c r="B47" s="267" t="s">
        <v>311</v>
      </c>
      <c r="C47" s="268">
        <f>Výkazy!I$3</f>
        <v>2007</v>
      </c>
      <c r="D47" s="268">
        <f>Výkazy!J$3</f>
        <v>2008</v>
      </c>
      <c r="E47" s="268">
        <f>Výkazy!K$3</f>
        <v>2009</v>
      </c>
      <c r="F47" s="268">
        <f>Výkazy!L$3</f>
        <v>2010</v>
      </c>
      <c r="G47" s="268">
        <f>Výkazy!M$3</f>
        <v>2011</v>
      </c>
      <c r="H47" s="268">
        <f>Výkazy!N$3</f>
        <v>2012</v>
      </c>
      <c r="I47" s="268">
        <f>Výkazy!O$3</f>
        <v>2013</v>
      </c>
      <c r="J47" s="268">
        <f>Výkazy!P$3</f>
        <v>2014</v>
      </c>
      <c r="K47" s="268">
        <f>Výkazy!Q$3</f>
        <v>2015</v>
      </c>
      <c r="L47" s="268">
        <f>Výkazy!R$3</f>
        <v>2016</v>
      </c>
      <c r="M47" s="268">
        <f>Výkazy!S$3</f>
        <v>2017</v>
      </c>
      <c r="N47" s="268">
        <f>Výkazy!T$3</f>
        <v>2018</v>
      </c>
      <c r="O47" s="268">
        <f>Výkazy!U$3</f>
        <v>2019</v>
      </c>
      <c r="P47" s="268">
        <f>Výkazy!V$3</f>
        <v>2020</v>
      </c>
      <c r="Q47" s="268">
        <f>Výkazy!W$3</f>
        <v>2021</v>
      </c>
      <c r="R47" s="268">
        <f>Výkazy!X$3</f>
        <v>2022</v>
      </c>
      <c r="S47" s="268">
        <f>Výkazy!Y$3</f>
        <v>2023</v>
      </c>
      <c r="T47" s="268">
        <f>Výkazy!Z$3</f>
        <v>2024</v>
      </c>
      <c r="U47" s="319"/>
    </row>
    <row r="48" spans="2:21" x14ac:dyDescent="0.2">
      <c r="B48" s="276" t="s">
        <v>3</v>
      </c>
      <c r="C48" s="270">
        <f>Výkazy!I5</f>
        <v>0</v>
      </c>
      <c r="D48" s="270">
        <f>Výkazy!J5</f>
        <v>0</v>
      </c>
      <c r="E48" s="270">
        <f>Výkazy!K5</f>
        <v>0</v>
      </c>
      <c r="F48" s="270">
        <f>Výkazy!L5</f>
        <v>4.0369700000000002</v>
      </c>
      <c r="G48" s="270">
        <f>Výkazy!M5</f>
        <v>54.584150000000001</v>
      </c>
      <c r="H48" s="270">
        <f>Výkazy!N5</f>
        <v>0</v>
      </c>
      <c r="I48" s="270">
        <f>Výkazy!O5</f>
        <v>0</v>
      </c>
      <c r="J48" s="270">
        <f>Výkazy!P5</f>
        <v>0</v>
      </c>
      <c r="K48" s="270">
        <f>Výkazy!Q5</f>
        <v>0</v>
      </c>
      <c r="L48" s="270">
        <f>Výkazy!R5</f>
        <v>0</v>
      </c>
      <c r="M48" s="270">
        <f>Výkazy!S5</f>
        <v>0</v>
      </c>
      <c r="N48" s="270">
        <f>Výkazy!T5</f>
        <v>0</v>
      </c>
      <c r="O48" s="270">
        <f>Výkazy!U5</f>
        <v>0</v>
      </c>
      <c r="P48" s="270">
        <f>Výkazy!V5</f>
        <v>0</v>
      </c>
      <c r="Q48" s="270">
        <f>Výkazy!W5</f>
        <v>0</v>
      </c>
      <c r="R48" s="270">
        <f>Výkazy!X5</f>
        <v>0</v>
      </c>
      <c r="S48" s="270">
        <f>Výkazy!Y5</f>
        <v>0</v>
      </c>
      <c r="T48" s="270">
        <f>Výkazy!Z5</f>
        <v>0</v>
      </c>
      <c r="U48" s="320"/>
    </row>
    <row r="49" spans="2:21" x14ac:dyDescent="0.2">
      <c r="B49" s="269" t="s">
        <v>11</v>
      </c>
      <c r="C49" s="270">
        <f>Výkazy!I12</f>
        <v>21596</v>
      </c>
      <c r="D49" s="270">
        <f>Výkazy!J12</f>
        <v>33952</v>
      </c>
      <c r="E49" s="270">
        <f>Výkazy!K12</f>
        <v>41002.928449999999</v>
      </c>
      <c r="F49" s="270">
        <f>Výkazy!L12</f>
        <v>56786.729429999999</v>
      </c>
      <c r="G49" s="270">
        <f>Výkazy!M12</f>
        <v>78229.714269999997</v>
      </c>
      <c r="H49" s="270">
        <f>Výkazy!N12</f>
        <v>109025.86631</v>
      </c>
      <c r="I49" s="270">
        <f>Výkazy!O12</f>
        <v>107437.27119</v>
      </c>
      <c r="J49" s="270">
        <f>Výkazy!P12</f>
        <v>103250.17237</v>
      </c>
      <c r="K49" s="270">
        <f>Výkazy!Q12</f>
        <v>83850.685219999999</v>
      </c>
      <c r="L49" s="270">
        <f>Výkazy!R12</f>
        <v>64376.943920000005</v>
      </c>
      <c r="M49" s="270">
        <f>Výkazy!S12</f>
        <v>63149.999340000002</v>
      </c>
      <c r="N49" s="270">
        <f>Výkazy!T12</f>
        <v>69286.439339999997</v>
      </c>
      <c r="O49" s="270">
        <f>Výkazy!U12</f>
        <v>69490.126140000008</v>
      </c>
      <c r="P49" s="270">
        <f>Výkazy!V12</f>
        <v>52094.595289999997</v>
      </c>
      <c r="Q49" s="270">
        <f>Výkazy!W12</f>
        <v>57912.871380000004</v>
      </c>
      <c r="R49" s="270">
        <f>Výkazy!X12</f>
        <v>72853.363580000005</v>
      </c>
      <c r="S49" s="270">
        <f>Výkazy!Y12</f>
        <v>58181.409670000001</v>
      </c>
      <c r="T49" s="270">
        <f>Výkazy!Z12</f>
        <v>45013.285400000001</v>
      </c>
      <c r="U49" s="320"/>
    </row>
    <row r="50" spans="2:21" x14ac:dyDescent="0.2">
      <c r="B50" s="269" t="s">
        <v>12</v>
      </c>
      <c r="C50" s="270">
        <f>Výkazy!I13</f>
        <v>64094</v>
      </c>
      <c r="D50" s="270">
        <f>Výkazy!J13</f>
        <v>86968</v>
      </c>
      <c r="E50" s="270">
        <f>Výkazy!K13</f>
        <v>111100.98934999999</v>
      </c>
      <c r="F50" s="270">
        <f>Výkazy!L13</f>
        <v>138785.74512000001</v>
      </c>
      <c r="G50" s="270">
        <f>Výkazy!M13</f>
        <v>173867.48302000001</v>
      </c>
      <c r="H50" s="270">
        <f>Výkazy!N13</f>
        <v>171850.88227</v>
      </c>
      <c r="I50" s="270">
        <f>Výkazy!O13</f>
        <v>183140.20334000001</v>
      </c>
      <c r="J50" s="270">
        <f>Výkazy!P13</f>
        <v>186997.11684999999</v>
      </c>
      <c r="K50" s="270">
        <f>Výkazy!Q13</f>
        <v>201659.78796000002</v>
      </c>
      <c r="L50" s="270">
        <f>Výkazy!R13</f>
        <v>165807.85212999998</v>
      </c>
      <c r="M50" s="270">
        <f>Výkazy!S13</f>
        <v>175075.70637</v>
      </c>
      <c r="N50" s="270">
        <f>Výkazy!T13</f>
        <v>142748.26658000002</v>
      </c>
      <c r="O50" s="270">
        <f>Výkazy!U13</f>
        <v>144904.64297999998</v>
      </c>
      <c r="P50" s="270">
        <f>Výkazy!V13</f>
        <v>97594.074250000005</v>
      </c>
      <c r="Q50" s="270">
        <f>Výkazy!W13</f>
        <v>104727.73018000001</v>
      </c>
      <c r="R50" s="270">
        <f>Výkazy!X13</f>
        <v>97456.203209999992</v>
      </c>
      <c r="S50" s="270">
        <f>Výkazy!Y13</f>
        <v>89984.01251</v>
      </c>
      <c r="T50" s="270">
        <f>Výkazy!Z13</f>
        <v>66220.222720000005</v>
      </c>
      <c r="U50" s="320"/>
    </row>
    <row r="51" spans="2:21" x14ac:dyDescent="0.2">
      <c r="B51" s="269" t="s">
        <v>15</v>
      </c>
      <c r="C51" s="270">
        <f>Výkazy!I15</f>
        <v>4542</v>
      </c>
      <c r="D51" s="270">
        <f>Výkazy!J15</f>
        <v>9707</v>
      </c>
      <c r="E51" s="270">
        <f>Výkazy!K15</f>
        <v>15232.504999999999</v>
      </c>
      <c r="F51" s="270">
        <f>Výkazy!L15</f>
        <v>19435.085599999999</v>
      </c>
      <c r="G51" s="270">
        <f>Výkazy!M15</f>
        <v>23643.712579999999</v>
      </c>
      <c r="H51" s="270">
        <f>Výkazy!N15</f>
        <v>27923.807329999996</v>
      </c>
      <c r="I51" s="270">
        <f>Výkazy!O15</f>
        <v>31770.216950000002</v>
      </c>
      <c r="J51" s="270">
        <f>Výkazy!P15</f>
        <v>35165.492319999998</v>
      </c>
      <c r="K51" s="270">
        <f>Výkazy!Q15</f>
        <v>38014.718559999994</v>
      </c>
      <c r="L51" s="270">
        <f>Výkazy!R15</f>
        <v>38379.624610000006</v>
      </c>
      <c r="M51" s="270">
        <f>Výkazy!S15</f>
        <v>40458.854510000005</v>
      </c>
      <c r="N51" s="270">
        <f>Výkazy!T15</f>
        <v>43593.99452</v>
      </c>
      <c r="O51" s="270">
        <f>Výkazy!U15</f>
        <v>47807.033629999998</v>
      </c>
      <c r="P51" s="270">
        <f>Výkazy!V15</f>
        <v>43557.466479999995</v>
      </c>
      <c r="Q51" s="270">
        <f>Výkazy!W15</f>
        <v>54768.058669999991</v>
      </c>
      <c r="R51" s="270">
        <f>Výkazy!X15</f>
        <v>61803.979199999994</v>
      </c>
      <c r="S51" s="270">
        <f>Výkazy!Y15</f>
        <v>61542.785319999995</v>
      </c>
      <c r="T51" s="270">
        <f>Výkazy!Z15</f>
        <v>46174.693720000003</v>
      </c>
      <c r="U51" s="320"/>
    </row>
    <row r="52" spans="2:21" x14ac:dyDescent="0.2">
      <c r="B52" s="269" t="s">
        <v>17</v>
      </c>
      <c r="C52" s="270">
        <f>Výkazy!I20</f>
        <v>494</v>
      </c>
      <c r="D52" s="270">
        <f>Výkazy!J20</f>
        <v>1182</v>
      </c>
      <c r="E52" s="270">
        <f>Výkazy!K20</f>
        <v>2079.3069500000001</v>
      </c>
      <c r="F52" s="270">
        <f>Výkazy!L20</f>
        <v>3010.1500599999999</v>
      </c>
      <c r="G52" s="270">
        <f>Výkazy!M20</f>
        <v>7894.9332800000002</v>
      </c>
      <c r="H52" s="270">
        <f>Výkazy!N20</f>
        <v>10439.439619999999</v>
      </c>
      <c r="I52" s="270">
        <f>Výkazy!O20</f>
        <v>10028.69152</v>
      </c>
      <c r="J52" s="270">
        <f>Výkazy!P20</f>
        <v>12400.27649</v>
      </c>
      <c r="K52" s="270">
        <f>Výkazy!Q20</f>
        <v>11895.433060000001</v>
      </c>
      <c r="L52" s="270">
        <f>Výkazy!R20</f>
        <v>26596.442940000001</v>
      </c>
      <c r="M52" s="270">
        <f>Výkazy!S20</f>
        <v>22634.67685</v>
      </c>
      <c r="N52" s="270">
        <f>Výkazy!T20</f>
        <v>28933.280579999999</v>
      </c>
      <c r="O52" s="270">
        <f>Výkazy!U20</f>
        <v>31932.23891</v>
      </c>
      <c r="P52" s="270">
        <f>Výkazy!V20</f>
        <v>28871.226690000003</v>
      </c>
      <c r="Q52" s="270">
        <f>Výkazy!W20</f>
        <v>27558.13566</v>
      </c>
      <c r="R52" s="270">
        <f>Výkazy!X20</f>
        <v>23961.191930000001</v>
      </c>
      <c r="S52" s="270">
        <f>Výkazy!Y20</f>
        <v>19961.694010000003</v>
      </c>
      <c r="T52" s="270">
        <f>Výkazy!Z20</f>
        <v>20135.182820000002</v>
      </c>
      <c r="U52" s="320"/>
    </row>
    <row r="53" spans="2:21" x14ac:dyDescent="0.2">
      <c r="B53" s="269" t="s">
        <v>210</v>
      </c>
      <c r="C53" s="270">
        <f>Výkazy!I21</f>
        <v>2209</v>
      </c>
      <c r="D53" s="270">
        <f>Výkazy!J21</f>
        <v>2900</v>
      </c>
      <c r="E53" s="270">
        <f>Výkazy!K21</f>
        <v>5034.6160999999993</v>
      </c>
      <c r="F53" s="270">
        <f>Výkazy!L21</f>
        <v>7153.31</v>
      </c>
      <c r="G53" s="270">
        <f>Výkazy!M21</f>
        <v>12397.793369999999</v>
      </c>
      <c r="H53" s="270">
        <f>Výkazy!N21</f>
        <v>25394.138989999999</v>
      </c>
      <c r="I53" s="270">
        <f>Výkazy!O21</f>
        <v>41005.268899999995</v>
      </c>
      <c r="J53" s="270">
        <f>Výkazy!P21</f>
        <v>50146.137040000001</v>
      </c>
      <c r="K53" s="270">
        <f>Výkazy!Q21</f>
        <v>68714.369139999995</v>
      </c>
      <c r="L53" s="270">
        <f>Výkazy!R21</f>
        <v>93516.886040000012</v>
      </c>
      <c r="M53" s="270">
        <f>Výkazy!S21</f>
        <v>92536.421629999997</v>
      </c>
      <c r="N53" s="270">
        <f>Výkazy!T21</f>
        <v>79816.923719999992</v>
      </c>
      <c r="O53" s="270">
        <f>Výkazy!U21</f>
        <v>69835.034419999996</v>
      </c>
      <c r="P53" s="270">
        <f>Výkazy!V21</f>
        <v>47780.208490000005</v>
      </c>
      <c r="Q53" s="270">
        <f>Výkazy!W21</f>
        <v>48190.40165</v>
      </c>
      <c r="R53" s="270">
        <f>Výkazy!X21</f>
        <v>39551.35873</v>
      </c>
      <c r="S53" s="270">
        <f>Výkazy!Y21</f>
        <v>53452.656280000003</v>
      </c>
      <c r="T53" s="270">
        <f>Výkazy!Z21</f>
        <v>12139.725050000001</v>
      </c>
      <c r="U53" s="320"/>
    </row>
    <row r="54" spans="2:21" x14ac:dyDescent="0.2">
      <c r="B54" s="269" t="s">
        <v>159</v>
      </c>
      <c r="C54" s="270">
        <f>Výkazy!I25+Výkazy!I28+Výkazy!I30+Výkazy!I32</f>
        <v>8773</v>
      </c>
      <c r="D54" s="270">
        <f>Výkazy!J25+Výkazy!J28+Výkazy!J30+Výkazy!J32</f>
        <v>2555</v>
      </c>
      <c r="E54" s="270">
        <f>Výkazy!K25+Výkazy!K28+Výkazy!K30+Výkazy!K32</f>
        <v>-7011.0711600000013</v>
      </c>
      <c r="F54" s="270">
        <f>Výkazy!L25+Výkazy!L28+Výkazy!L30+Výkazy!L32</f>
        <v>1119.3483399999996</v>
      </c>
      <c r="G54" s="270">
        <f>Výkazy!M25+Výkazy!M28+Výkazy!M30+Výkazy!M32</f>
        <v>11483.470860000001</v>
      </c>
      <c r="H54" s="270">
        <f>Výkazy!N25+Výkazy!N28+Výkazy!N30+Výkazy!N32</f>
        <v>9971.581189999999</v>
      </c>
      <c r="I54" s="270">
        <f>Výkazy!O25+Výkazy!O28+Výkazy!O30+Výkazy!O32</f>
        <v>8409.1029600000002</v>
      </c>
      <c r="J54" s="270">
        <f>Výkazy!P25+Výkazy!P28+Výkazy!P30+Výkazy!P32</f>
        <v>11102.4571</v>
      </c>
      <c r="K54" s="270">
        <f>Výkazy!Q25+Výkazy!Q28+Výkazy!Q30+Výkazy!Q32</f>
        <v>10559.07301</v>
      </c>
      <c r="L54" s="270">
        <f>Výkazy!R25+Výkazy!R28+Výkazy!R30+Výkazy!R32</f>
        <v>10259.96912</v>
      </c>
      <c r="M54" s="270">
        <f>Výkazy!S25+Výkazy!S28+Výkazy!S30+Výkazy!S32</f>
        <v>7868.1156599999995</v>
      </c>
      <c r="N54" s="270">
        <f>Výkazy!T25+Výkazy!T28+Výkazy!T30+Výkazy!T32</f>
        <v>7127.0838899999999</v>
      </c>
      <c r="O54" s="270">
        <f>Výkazy!U25+Výkazy!U28+Výkazy!U30+Výkazy!U32</f>
        <v>7389.5429000000004</v>
      </c>
      <c r="P54" s="270">
        <f>Výkazy!V25+Výkazy!V28+Výkazy!V30+Výkazy!V32</f>
        <v>7627.4242100000001</v>
      </c>
      <c r="Q54" s="270">
        <f>Výkazy!W25+Výkazy!W28+Výkazy!W30+Výkazy!W32</f>
        <v>8294.3019800000002</v>
      </c>
      <c r="R54" s="270">
        <f>Výkazy!X25+Výkazy!X28+Výkazy!X30+Výkazy!X32</f>
        <v>9250.0811099999992</v>
      </c>
      <c r="S54" s="270">
        <f>Výkazy!Y25+Výkazy!Y28+Výkazy!Y30+Výkazy!Y32</f>
        <v>9067.2417100000002</v>
      </c>
      <c r="T54" s="270">
        <f>Výkazy!Z25+Výkazy!Z28+Výkazy!Z30+Výkazy!Z32</f>
        <v>7073.9993000000004</v>
      </c>
      <c r="U54" s="320"/>
    </row>
    <row r="55" spans="2:21" x14ac:dyDescent="0.2">
      <c r="B55" s="276" t="s">
        <v>312</v>
      </c>
      <c r="C55" s="270">
        <f>Výkazy!I35+Výkazy!I41+Výkazy!I43+Výkazy!I44+Výkazy!I46+Výkazy!I48+Výkazy!I50</f>
        <v>641</v>
      </c>
      <c r="D55" s="270">
        <f>Výkazy!J35+Výkazy!J41+Výkazy!J43+Výkazy!J44+Výkazy!J46+Výkazy!J48+Výkazy!J50</f>
        <v>1081</v>
      </c>
      <c r="E55" s="270">
        <f>Výkazy!K35+Výkazy!K41+Výkazy!K43+Výkazy!K44+Výkazy!K46+Výkazy!K48+Výkazy!K50</f>
        <v>5363.3690200000001</v>
      </c>
      <c r="F55" s="270">
        <f>Výkazy!L35+Výkazy!L41+Výkazy!L43+Výkazy!L44+Výkazy!L46+Výkazy!L48+Výkazy!L50</f>
        <v>4988.9602399999994</v>
      </c>
      <c r="G55" s="270">
        <f>Výkazy!M35+Výkazy!M41+Výkazy!M43+Výkazy!M44+Výkazy!M46+Výkazy!M48+Výkazy!M50</f>
        <v>4903.0558599999995</v>
      </c>
      <c r="H55" s="270">
        <f>Výkazy!N35+Výkazy!N41+Výkazy!N43+Výkazy!N44+Výkazy!N46+Výkazy!N48+Výkazy!N50</f>
        <v>6549.6779900000001</v>
      </c>
      <c r="I55" s="270">
        <f>Výkazy!O35+Výkazy!O41+Výkazy!O43+Výkazy!O44+Výkazy!O46+Výkazy!O48+Výkazy!O50</f>
        <v>5804.0008899999993</v>
      </c>
      <c r="J55" s="270">
        <f>Výkazy!P35+Výkazy!P41+Výkazy!P43+Výkazy!P44+Výkazy!P46+Výkazy!P48+Výkazy!P50</f>
        <v>2779.0371099999998</v>
      </c>
      <c r="K55" s="270">
        <f>Výkazy!Q35+Výkazy!Q41+Výkazy!Q43+Výkazy!Q44+Výkazy!Q46+Výkazy!Q48+Výkazy!Q50</f>
        <v>4482.1248999999998</v>
      </c>
      <c r="L55" s="270">
        <f>Výkazy!R35+Výkazy!R41+Výkazy!R43+Výkazy!R44+Výkazy!R46+Výkazy!R48+Výkazy!R50</f>
        <v>1522.5835400000001</v>
      </c>
      <c r="M55" s="270">
        <f>Výkazy!S35+Výkazy!S41+Výkazy!S43+Výkazy!S44+Výkazy!S46+Výkazy!S48+Výkazy!S50</f>
        <v>6618.4522100000004</v>
      </c>
      <c r="N55" s="270">
        <f>Výkazy!T35+Výkazy!T41+Výkazy!T43+Výkazy!T44+Výkazy!T46+Výkazy!T48+Výkazy!T50</f>
        <v>3650.09996</v>
      </c>
      <c r="O55" s="270">
        <f>Výkazy!U35+Výkazy!U41+Výkazy!U43+Výkazy!U44+Výkazy!U46+Výkazy!U48+Výkazy!U50</f>
        <v>3498.5823300000002</v>
      </c>
      <c r="P55" s="270">
        <f>Výkazy!V35+Výkazy!V41+Výkazy!V43+Výkazy!V44+Výkazy!V46+Výkazy!V48+Výkazy!V50</f>
        <v>6661.1225799999993</v>
      </c>
      <c r="Q55" s="270">
        <f>Výkazy!W35+Výkazy!W41+Výkazy!W43+Výkazy!W44+Výkazy!W46+Výkazy!W48+Výkazy!W50</f>
        <v>5765.88375</v>
      </c>
      <c r="R55" s="270">
        <f>Výkazy!X35+Výkazy!X41+Výkazy!X43+Výkazy!X44+Výkazy!X46+Výkazy!X48+Výkazy!X50</f>
        <v>6555.9883499999996</v>
      </c>
      <c r="S55" s="270">
        <f>Výkazy!Y35+Výkazy!Y41+Výkazy!Y43+Výkazy!Y44+Výkazy!Y46+Výkazy!Y48+Výkazy!Y50</f>
        <v>4762.6255899999996</v>
      </c>
      <c r="T55" s="270">
        <f>Výkazy!Z35+Výkazy!Z41+Výkazy!Z43+Výkazy!Z44+Výkazy!Z46+Výkazy!Z48+Výkazy!Z50</f>
        <v>2225.2718800000002</v>
      </c>
      <c r="U55" s="320"/>
    </row>
    <row r="56" spans="2:21" x14ac:dyDescent="0.2">
      <c r="B56" s="276" t="s">
        <v>39</v>
      </c>
      <c r="C56" s="270">
        <f>Výkazy!I57+Výkazy!I58</f>
        <v>0</v>
      </c>
      <c r="D56" s="270">
        <f>Výkazy!J57+Výkazy!J58</f>
        <v>0</v>
      </c>
      <c r="E56" s="270">
        <f>Výkazy!K57+Výkazy!K58</f>
        <v>0</v>
      </c>
      <c r="F56" s="270">
        <f>Výkazy!L57+Výkazy!L58</f>
        <v>0</v>
      </c>
      <c r="G56" s="270">
        <f>Výkazy!M57+Výkazy!M58</f>
        <v>0</v>
      </c>
      <c r="H56" s="270">
        <f>Výkazy!N57+Výkazy!N58</f>
        <v>0</v>
      </c>
      <c r="I56" s="270">
        <f>Výkazy!O57+Výkazy!O58</f>
        <v>0</v>
      </c>
      <c r="J56" s="270">
        <f>Výkazy!P57+Výkazy!P58</f>
        <v>0</v>
      </c>
      <c r="K56" s="270">
        <f>Výkazy!Q57+Výkazy!Q58</f>
        <v>0</v>
      </c>
      <c r="L56" s="270">
        <f>Výkazy!R57+Výkazy!R58</f>
        <v>0</v>
      </c>
      <c r="M56" s="270">
        <f>Výkazy!S57+Výkazy!S58</f>
        <v>-26.346</v>
      </c>
      <c r="N56" s="270">
        <f>Výkazy!T57+Výkazy!T58</f>
        <v>-239.51400000000001</v>
      </c>
      <c r="O56" s="270">
        <f>Výkazy!U57+Výkazy!U58</f>
        <v>41.637999999999998</v>
      </c>
      <c r="P56" s="270">
        <f>Výkazy!V57+Výkazy!V58</f>
        <v>-86.912999999999997</v>
      </c>
      <c r="Q56" s="270">
        <f>Výkazy!W57+Výkazy!W58</f>
        <v>-1461.4143700000002</v>
      </c>
      <c r="R56" s="270">
        <f>Výkazy!X57+Výkazy!X58</f>
        <v>-72.418000000000006</v>
      </c>
      <c r="S56" s="270">
        <f>Výkazy!Y57+Výkazy!Y58</f>
        <v>20.828679999999999</v>
      </c>
      <c r="T56" s="270">
        <f>Výkazy!Z57+Výkazy!Z58</f>
        <v>80.626999999999995</v>
      </c>
      <c r="U56" s="320"/>
    </row>
    <row r="57" spans="2:21" x14ac:dyDescent="0.2">
      <c r="B57" s="276" t="s">
        <v>313</v>
      </c>
      <c r="C57" s="270">
        <f>Výkazy!I52</f>
        <v>45</v>
      </c>
      <c r="D57" s="270">
        <f>Výkazy!J52</f>
        <v>2704</v>
      </c>
      <c r="E57" s="270">
        <f>Výkazy!K52</f>
        <v>2585.1999999999998</v>
      </c>
      <c r="F57" s="270">
        <f>Výkazy!L52</f>
        <v>72.760000000000005</v>
      </c>
      <c r="G57" s="270">
        <f>Výkazy!M52</f>
        <v>2683.8</v>
      </c>
      <c r="H57" s="270">
        <f>Výkazy!N52</f>
        <v>825.32</v>
      </c>
      <c r="I57" s="270">
        <f>Výkazy!O52</f>
        <v>4177.72</v>
      </c>
      <c r="J57" s="270">
        <f>Výkazy!P52</f>
        <v>4813</v>
      </c>
      <c r="K57" s="270">
        <f>Výkazy!Q52</f>
        <v>6466.22</v>
      </c>
      <c r="L57" s="270">
        <f>Výkazy!R52</f>
        <v>2668.46236</v>
      </c>
      <c r="M57" s="270">
        <f>Výkazy!S52</f>
        <v>1300.6089099999999</v>
      </c>
      <c r="N57" s="270">
        <f>Výkazy!T52</f>
        <v>3485.3937900000001</v>
      </c>
      <c r="O57" s="270">
        <f>Výkazy!U52</f>
        <v>4242.2294699999993</v>
      </c>
      <c r="P57" s="270">
        <f>Výkazy!V52</f>
        <v>205.53704000000002</v>
      </c>
      <c r="Q57" s="270">
        <f>Výkazy!W52</f>
        <v>98.490719999999996</v>
      </c>
      <c r="R57" s="270">
        <f>Výkazy!X52</f>
        <v>105.70986000000001</v>
      </c>
      <c r="S57" s="270">
        <f>Výkazy!Y52</f>
        <v>1079.4260200000001</v>
      </c>
      <c r="T57" s="270">
        <f>Výkazy!Z52</f>
        <v>0</v>
      </c>
      <c r="U57" s="320"/>
    </row>
    <row r="58" spans="2:21" x14ac:dyDescent="0.2">
      <c r="B58" s="283" t="s">
        <v>318</v>
      </c>
      <c r="C58" s="284">
        <f t="shared" ref="C58:H58" si="31">SUM(C48:C57)</f>
        <v>102394</v>
      </c>
      <c r="D58" s="284">
        <f t="shared" si="31"/>
        <v>141049</v>
      </c>
      <c r="E58" s="284">
        <f t="shared" si="31"/>
        <v>175387.84371000002</v>
      </c>
      <c r="F58" s="284">
        <f t="shared" si="31"/>
        <v>231356.12576</v>
      </c>
      <c r="G58" s="284">
        <f t="shared" si="31"/>
        <v>315158.54738999996</v>
      </c>
      <c r="H58" s="284">
        <f t="shared" si="31"/>
        <v>361980.71370000002</v>
      </c>
      <c r="I58" s="284">
        <f t="shared" ref="I58:J58" si="32">SUM(I48:I57)</f>
        <v>391772.47575000004</v>
      </c>
      <c r="J58" s="284">
        <f t="shared" si="32"/>
        <v>406653.68927999999</v>
      </c>
      <c r="K58" s="284">
        <f t="shared" ref="K58:L58" si="33">SUM(K48:K57)</f>
        <v>425642.41185000003</v>
      </c>
      <c r="L58" s="284">
        <f t="shared" si="33"/>
        <v>403128.76466000004</v>
      </c>
      <c r="M58" s="284">
        <f t="shared" ref="M58:N58" si="34">SUM(M48:M57)</f>
        <v>409616.48947999999</v>
      </c>
      <c r="N58" s="284">
        <f t="shared" si="34"/>
        <v>378401.96838000003</v>
      </c>
      <c r="O58" s="284">
        <f t="shared" ref="O58:P58" si="35">SUM(O48:O57)</f>
        <v>379141.06877999997</v>
      </c>
      <c r="P58" s="284">
        <f t="shared" si="35"/>
        <v>284304.74203000008</v>
      </c>
      <c r="Q58" s="284">
        <f t="shared" ref="Q58:R58" si="36">SUM(Q48:Q57)</f>
        <v>305854.45961999998</v>
      </c>
      <c r="R58" s="284">
        <f t="shared" si="36"/>
        <v>311465.45796999999</v>
      </c>
      <c r="S58" s="284">
        <f t="shared" ref="S58:T58" si="37">SUM(S48:S57)</f>
        <v>298052.67978999997</v>
      </c>
      <c r="T58" s="284">
        <f t="shared" si="37"/>
        <v>199063.00789000004</v>
      </c>
      <c r="U58" s="325"/>
    </row>
    <row r="78" spans="2:21" ht="139.5" customHeight="1" x14ac:dyDescent="0.2"/>
    <row r="79" spans="2:21" x14ac:dyDescent="0.2">
      <c r="B79" s="267" t="s">
        <v>314</v>
      </c>
      <c r="C79" s="268">
        <f>Výkazy!I$3</f>
        <v>2007</v>
      </c>
      <c r="D79" s="268">
        <f>Výkazy!J$3</f>
        <v>2008</v>
      </c>
      <c r="E79" s="268">
        <f>Výkazy!K$3</f>
        <v>2009</v>
      </c>
      <c r="F79" s="268">
        <f>Výkazy!L$3</f>
        <v>2010</v>
      </c>
      <c r="G79" s="268">
        <f>Výkazy!M$3</f>
        <v>2011</v>
      </c>
      <c r="H79" s="268">
        <f>Výkazy!N$3</f>
        <v>2012</v>
      </c>
      <c r="I79" s="268">
        <f>Výkazy!O$3</f>
        <v>2013</v>
      </c>
      <c r="J79" s="268">
        <f>Výkazy!P$3</f>
        <v>2014</v>
      </c>
      <c r="K79" s="268">
        <f>Výkazy!Q$3</f>
        <v>2015</v>
      </c>
      <c r="L79" s="268">
        <f>Výkazy!R$3</f>
        <v>2016</v>
      </c>
      <c r="M79" s="268">
        <f>Výkazy!S$3</f>
        <v>2017</v>
      </c>
      <c r="N79" s="268">
        <f>Výkazy!T$3</f>
        <v>2018</v>
      </c>
      <c r="O79" s="268">
        <f>Výkazy!U$3</f>
        <v>2019</v>
      </c>
      <c r="P79" s="268">
        <f>Výkazy!V$3</f>
        <v>2020</v>
      </c>
      <c r="Q79" s="268">
        <f>Výkazy!W$3</f>
        <v>2021</v>
      </c>
      <c r="R79" s="268">
        <f>Výkazy!X$3</f>
        <v>2022</v>
      </c>
      <c r="S79" s="268">
        <f>Výkazy!Y$3</f>
        <v>2023</v>
      </c>
      <c r="T79" s="268">
        <f>Výkazy!Z$3</f>
        <v>2024</v>
      </c>
      <c r="U79" s="319"/>
    </row>
    <row r="80" spans="2:21" x14ac:dyDescent="0.2">
      <c r="B80" s="269" t="s">
        <v>315</v>
      </c>
      <c r="C80" s="285" t="str">
        <f>Trendy!D49</f>
        <v>x</v>
      </c>
      <c r="D80" s="275">
        <f>Trendy!E69</f>
        <v>1.4402950577821489</v>
      </c>
      <c r="E80" s="275">
        <f>Trendy!F69</f>
        <v>1.2363418461916662</v>
      </c>
      <c r="F80" s="275">
        <f>Trendy!G69</f>
        <v>1.2404100039414983</v>
      </c>
      <c r="G80" s="275">
        <f>Trendy!H69</f>
        <v>1.3900502773181762</v>
      </c>
      <c r="H80" s="275">
        <f>Trendy!I69</f>
        <v>1.1300140494636823</v>
      </c>
      <c r="I80" s="275">
        <f>Trendy!J69</f>
        <v>1.1220615942694561</v>
      </c>
      <c r="J80" s="275">
        <f>Trendy!K69</f>
        <v>1.0525054424348379</v>
      </c>
      <c r="K80" s="275">
        <f>Trendy!L69</f>
        <v>1.0634307951012969</v>
      </c>
      <c r="L80" s="275">
        <f>Trendy!M69</f>
        <v>0.91665854272795433</v>
      </c>
      <c r="M80" s="275">
        <f>Trendy!N69</f>
        <v>0.99250413330822895</v>
      </c>
      <c r="N80" s="275">
        <f>Trendy!O69</f>
        <v>0.95735175470941303</v>
      </c>
      <c r="O80" s="275">
        <f>Trendy!P69</f>
        <v>1.010504646707896</v>
      </c>
      <c r="P80" s="275">
        <f>Trendy!Q69</f>
        <v>0.69377928684609991</v>
      </c>
      <c r="Q80" s="275">
        <f>Trendy!R69</f>
        <v>1.0890496250677888</v>
      </c>
      <c r="R80" s="275">
        <f>Trendy!S69</f>
        <v>1.0113375010907071</v>
      </c>
      <c r="S80" s="275">
        <f>Trendy!T69</f>
        <v>0.96104058235781264</v>
      </c>
      <c r="T80" s="275">
        <f>Trendy!U69</f>
        <v>0.72927560900020527</v>
      </c>
      <c r="U80" s="326"/>
    </row>
    <row r="81" spans="2:21" x14ac:dyDescent="0.2">
      <c r="B81" s="269" t="s">
        <v>320</v>
      </c>
      <c r="C81" s="285" t="str">
        <f>Trendy!D50</f>
        <v>x</v>
      </c>
      <c r="D81" s="275">
        <f>D87/C87</f>
        <v>0.98362609556639402</v>
      </c>
      <c r="E81" s="275">
        <f>E87/D87</f>
        <v>0.94896076055550382</v>
      </c>
      <c r="F81" s="275">
        <f>F87/E87</f>
        <v>0.9736578466615593</v>
      </c>
      <c r="G81" s="275">
        <f>G87/F87</f>
        <v>0.9439535165234233</v>
      </c>
      <c r="H81" s="275">
        <f t="shared" ref="H81:T81" si="38">H87/G87</f>
        <v>1</v>
      </c>
      <c r="I81" s="275">
        <f t="shared" si="38"/>
        <v>1</v>
      </c>
      <c r="J81" s="275">
        <f t="shared" si="38"/>
        <v>1</v>
      </c>
      <c r="K81" s="275">
        <f t="shared" si="38"/>
        <v>1</v>
      </c>
      <c r="L81" s="275">
        <f t="shared" si="38"/>
        <v>1</v>
      </c>
      <c r="M81" s="275">
        <f t="shared" si="38"/>
        <v>1</v>
      </c>
      <c r="N81" s="275">
        <f t="shared" si="38"/>
        <v>1</v>
      </c>
      <c r="O81" s="275">
        <f t="shared" si="38"/>
        <v>1</v>
      </c>
      <c r="P81" s="275">
        <f t="shared" si="38"/>
        <v>1</v>
      </c>
      <c r="Q81" s="275">
        <f t="shared" si="38"/>
        <v>1</v>
      </c>
      <c r="R81" s="275">
        <f t="shared" si="38"/>
        <v>1</v>
      </c>
      <c r="S81" s="275">
        <f t="shared" si="38"/>
        <v>1</v>
      </c>
      <c r="T81" s="275">
        <f t="shared" si="38"/>
        <v>1</v>
      </c>
      <c r="U81" s="326"/>
    </row>
    <row r="82" spans="2:21" x14ac:dyDescent="0.2">
      <c r="B82" s="286" t="s">
        <v>334</v>
      </c>
    </row>
    <row r="83" spans="2:21" x14ac:dyDescent="0.2">
      <c r="B83" s="286"/>
    </row>
    <row r="84" spans="2:21" x14ac:dyDescent="0.2">
      <c r="B84" s="273" t="s">
        <v>319</v>
      </c>
    </row>
    <row r="85" spans="2:21" x14ac:dyDescent="0.2">
      <c r="B85" s="269" t="s">
        <v>317</v>
      </c>
      <c r="C85" s="270">
        <v>4559</v>
      </c>
      <c r="D85" s="270">
        <v>4679</v>
      </c>
      <c r="E85" s="270">
        <v>3569</v>
      </c>
      <c r="F85" s="270">
        <v>4626</v>
      </c>
      <c r="G85" s="270">
        <v>3686</v>
      </c>
      <c r="H85" s="270">
        <v>3686</v>
      </c>
      <c r="I85" s="270">
        <v>3686</v>
      </c>
      <c r="J85" s="270">
        <v>3686</v>
      </c>
      <c r="K85" s="270">
        <v>3686</v>
      </c>
      <c r="L85" s="270">
        <v>3686</v>
      </c>
      <c r="M85" s="270">
        <v>3686</v>
      </c>
      <c r="N85" s="270">
        <v>3686</v>
      </c>
      <c r="O85" s="270">
        <v>3686</v>
      </c>
      <c r="P85" s="270">
        <v>3686</v>
      </c>
      <c r="Q85" s="270">
        <v>3686</v>
      </c>
      <c r="R85" s="270">
        <v>3686</v>
      </c>
      <c r="S85" s="270">
        <v>3686</v>
      </c>
      <c r="T85" s="270">
        <v>3686</v>
      </c>
      <c r="U85" s="320"/>
    </row>
    <row r="86" spans="2:21" x14ac:dyDescent="0.2">
      <c r="B86" s="269" t="s">
        <v>316</v>
      </c>
      <c r="C86" s="270">
        <v>49979</v>
      </c>
      <c r="D86" s="270">
        <v>48966</v>
      </c>
      <c r="E86" s="270">
        <v>47338</v>
      </c>
      <c r="F86" s="270">
        <v>44940</v>
      </c>
      <c r="G86" s="270">
        <v>43102</v>
      </c>
      <c r="H86" s="270">
        <v>43102</v>
      </c>
      <c r="I86" s="270">
        <v>43102</v>
      </c>
      <c r="J86" s="270">
        <v>43102</v>
      </c>
      <c r="K86" s="270">
        <v>43102</v>
      </c>
      <c r="L86" s="270">
        <v>43102</v>
      </c>
      <c r="M86" s="270">
        <v>43102</v>
      </c>
      <c r="N86" s="270">
        <v>43102</v>
      </c>
      <c r="O86" s="270">
        <v>43102</v>
      </c>
      <c r="P86" s="270">
        <v>43102</v>
      </c>
      <c r="Q86" s="270">
        <v>43102</v>
      </c>
      <c r="R86" s="270">
        <v>43102</v>
      </c>
      <c r="S86" s="270">
        <v>43102</v>
      </c>
      <c r="T86" s="270">
        <v>43102</v>
      </c>
      <c r="U86" s="320"/>
    </row>
    <row r="87" spans="2:21" x14ac:dyDescent="0.2">
      <c r="B87" s="269" t="s">
        <v>318</v>
      </c>
      <c r="C87" s="270">
        <f t="shared" ref="C87:G87" si="39">SUM(C85:C86)</f>
        <v>54538</v>
      </c>
      <c r="D87" s="270">
        <f t="shared" si="39"/>
        <v>53645</v>
      </c>
      <c r="E87" s="270">
        <f t="shared" si="39"/>
        <v>50907</v>
      </c>
      <c r="F87" s="270">
        <f t="shared" si="39"/>
        <v>49566</v>
      </c>
      <c r="G87" s="270">
        <f t="shared" si="39"/>
        <v>46788</v>
      </c>
      <c r="H87" s="270">
        <f t="shared" ref="H87:J87" si="40">SUM(H85:H86)</f>
        <v>46788</v>
      </c>
      <c r="I87" s="270">
        <f t="shared" si="40"/>
        <v>46788</v>
      </c>
      <c r="J87" s="270">
        <f t="shared" si="40"/>
        <v>46788</v>
      </c>
      <c r="K87" s="270">
        <f t="shared" ref="K87:L87" si="41">SUM(K85:K86)</f>
        <v>46788</v>
      </c>
      <c r="L87" s="270">
        <f t="shared" si="41"/>
        <v>46788</v>
      </c>
      <c r="M87" s="270">
        <f t="shared" ref="M87:N87" si="42">SUM(M85:M86)</f>
        <v>46788</v>
      </c>
      <c r="N87" s="270">
        <f t="shared" si="42"/>
        <v>46788</v>
      </c>
      <c r="O87" s="270">
        <f t="shared" ref="O87:P87" si="43">SUM(O85:O86)</f>
        <v>46788</v>
      </c>
      <c r="P87" s="270">
        <f t="shared" si="43"/>
        <v>46788</v>
      </c>
      <c r="Q87" s="270">
        <f t="shared" ref="Q87:R87" si="44">SUM(Q85:Q86)</f>
        <v>46788</v>
      </c>
      <c r="R87" s="270">
        <f t="shared" si="44"/>
        <v>46788</v>
      </c>
      <c r="S87" s="270">
        <f t="shared" ref="S87:T87" si="45">SUM(S85:S86)</f>
        <v>46788</v>
      </c>
      <c r="T87" s="270">
        <f t="shared" si="45"/>
        <v>46788</v>
      </c>
      <c r="U87" s="320"/>
    </row>
    <row r="88" spans="2:21" x14ac:dyDescent="0.2">
      <c r="B88" s="286" t="s">
        <v>334</v>
      </c>
    </row>
  </sheetData>
  <phoneticPr fontId="0" type="noConversion"/>
  <printOptions gridLinesSet="0"/>
  <pageMargins left="0.59055118110236227" right="0" top="0.39370078740157483" bottom="0.39370078740157483" header="0.51181102362204722" footer="0.31496062992125984"/>
  <pageSetup paperSize="9" scale="83" fitToHeight="2" orientation="portrait" horizontalDpi="300" verticalDpi="300" r:id="rId1"/>
  <headerFooter alignWithMargins="0">
    <oddFooter>&amp;C&amp;F / &amp;D</oddFooter>
  </headerFooter>
  <rowBreaks count="1" manualBreakCount="1">
    <brk id="40" max="16383" man="1"/>
  </rowBreaks>
  <colBreaks count="1" manualBreakCount="1">
    <brk id="1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13" transitionEvaluation="1" transitionEntry="1" codeName="List9"/>
  <dimension ref="B2:T34"/>
  <sheetViews>
    <sheetView showGridLines="0" topLeftCell="A13" zoomScale="150" zoomScaleNormal="150" workbookViewId="0">
      <selection activeCell="T1" sqref="T1:T1048576"/>
    </sheetView>
  </sheetViews>
  <sheetFormatPr defaultColWidth="9.83203125" defaultRowHeight="11.25" outlineLevelCol="1" x14ac:dyDescent="0.2"/>
  <cols>
    <col min="1" max="1" width="3" customWidth="1"/>
    <col min="2" max="2" width="40.33203125" style="273" bestFit="1" customWidth="1"/>
    <col min="3" max="3" width="4.33203125" style="273" hidden="1" customWidth="1" outlineLevel="1"/>
    <col min="4" max="5" width="5.5" style="273" hidden="1" customWidth="1" outlineLevel="1"/>
    <col min="6" max="6" width="5.1640625" style="273" hidden="1" customWidth="1" outlineLevel="1"/>
    <col min="7" max="7" width="5.5" style="273" hidden="1" customWidth="1" outlineLevel="1"/>
    <col min="8" max="8" width="4.83203125" style="273" hidden="1" customWidth="1" outlineLevel="1"/>
    <col min="9" max="9" width="6" style="273" customWidth="1" collapsed="1"/>
    <col min="10" max="10" width="6" style="273" bestFit="1" customWidth="1"/>
    <col min="11" max="11" width="6.33203125" style="273" bestFit="1" customWidth="1"/>
    <col min="12" max="12" width="5.5" style="273" bestFit="1" customWidth="1"/>
    <col min="13" max="16" width="4.83203125" style="273" bestFit="1" customWidth="1"/>
    <col min="17" max="17" width="6.33203125" style="273" customWidth="1"/>
    <col min="18" max="20" width="5.1640625" style="273" customWidth="1"/>
    <col min="21" max="29" width="9.83203125" customWidth="1"/>
    <col min="37" max="37" width="3.83203125" customWidth="1"/>
    <col min="49" max="49" width="3.83203125" customWidth="1"/>
    <col min="116" max="116" width="4.83203125" customWidth="1"/>
  </cols>
  <sheetData>
    <row r="2" spans="2:20" x14ac:dyDescent="0.2">
      <c r="B2" s="267" t="s">
        <v>252</v>
      </c>
      <c r="C2" s="268">
        <f>Výkazy!I$3</f>
        <v>2007</v>
      </c>
      <c r="D2" s="268">
        <f>Výkazy!J$3</f>
        <v>2008</v>
      </c>
      <c r="E2" s="268">
        <f>Výkazy!K$3</f>
        <v>2009</v>
      </c>
      <c r="F2" s="268">
        <f>Výkazy!L$3</f>
        <v>2010</v>
      </c>
      <c r="G2" s="268">
        <f>Výkazy!M$3</f>
        <v>2011</v>
      </c>
      <c r="H2" s="268">
        <f>Výkazy!N$3</f>
        <v>2012</v>
      </c>
      <c r="I2" s="268">
        <f>Výkazy!O$3</f>
        <v>2013</v>
      </c>
      <c r="J2" s="268">
        <f>Výkazy!P$3</f>
        <v>2014</v>
      </c>
      <c r="K2" s="268">
        <f>Výkazy!Q$3</f>
        <v>2015</v>
      </c>
      <c r="L2" s="268">
        <f>Výkazy!R$3</f>
        <v>2016</v>
      </c>
      <c r="M2" s="268">
        <f>Výkazy!S$3</f>
        <v>2017</v>
      </c>
      <c r="N2" s="268">
        <f>Výkazy!T$3</f>
        <v>2018</v>
      </c>
      <c r="O2" s="268">
        <f>Výkazy!U$3</f>
        <v>2019</v>
      </c>
      <c r="P2" s="268">
        <f>Výkazy!V$3</f>
        <v>2020</v>
      </c>
      <c r="Q2" s="268">
        <f>Výkazy!W$3</f>
        <v>2021</v>
      </c>
      <c r="R2" s="268">
        <f>Výkazy!X$3</f>
        <v>2022</v>
      </c>
      <c r="S2" s="268">
        <f>Výkazy!Y$3</f>
        <v>2023</v>
      </c>
      <c r="T2" s="268">
        <f>Výkazy!Z$3</f>
        <v>2024</v>
      </c>
    </row>
    <row r="3" spans="2:20" x14ac:dyDescent="0.2">
      <c r="B3" s="276" t="s">
        <v>135</v>
      </c>
      <c r="C3" s="282">
        <f>IF(Výkazy!I75=0,"---",(Výkazy!I64+Výkazy!I53+Výkazy!I48)/Výkazy!I75)</f>
        <v>1.1269372395095699E-2</v>
      </c>
      <c r="D3" s="282">
        <f>IF(Výkazy!J75=0,"---",(Výkazy!J64+Výkazy!J53+Výkazy!J48)/Výkazy!J75)</f>
        <v>0.22317246996538384</v>
      </c>
      <c r="E3" s="282">
        <f>IF(Výkazy!K75=0,"---",(Výkazy!K64+Výkazy!K53+Výkazy!K48)/Výkazy!K75)</f>
        <v>0.23699350289417034</v>
      </c>
      <c r="F3" s="282">
        <f>IF(Výkazy!L75=0,"---",(Výkazy!L64+Výkazy!L53+Výkazy!L48)/Výkazy!L75)</f>
        <v>6.0930888713634723E-2</v>
      </c>
      <c r="G3" s="282">
        <f>IF(Výkazy!M75=0,"---",(Výkazy!M64+Výkazy!M53+Výkazy!M48)/Výkazy!M75)</f>
        <v>0.20702869424792672</v>
      </c>
      <c r="H3" s="282">
        <f>IF(Výkazy!N75=0,"---",(Výkazy!N64+Výkazy!N53+Výkazy!N48)/Výkazy!N75)</f>
        <v>8.0551319224828874E-2</v>
      </c>
      <c r="I3" s="282">
        <f>IF(Výkazy!O75=0,"---",(Výkazy!O64+Výkazy!O53+Výkazy!O48)/Výkazy!O75)</f>
        <v>0.17193580111480433</v>
      </c>
      <c r="J3" s="282">
        <f>IF(Výkazy!P75=0,"---",(Výkazy!P64+Výkazy!P53+Výkazy!P48)/Výkazy!P75)</f>
        <v>0.16306920342153222</v>
      </c>
      <c r="K3" s="282">
        <f>IF(Výkazy!Q75=0,"---",(Výkazy!Q64+Výkazy!Q53+Výkazy!Q48)/Výkazy!Q75)</f>
        <v>0.1665228589496934</v>
      </c>
      <c r="L3" s="282">
        <f>IF(Výkazy!R75=0,"---",(Výkazy!R64+Výkazy!R53+Výkazy!R48)/Výkazy!R75)</f>
        <v>5.6572625478223476E-2</v>
      </c>
      <c r="M3" s="282">
        <f>IF(Výkazy!S75=0,"---",(Výkazy!S64+Výkazy!S53+Výkazy!S48)/Výkazy!S75)</f>
        <v>4.8340605822482528E-2</v>
      </c>
      <c r="N3" s="282">
        <f>IF(Výkazy!T75=0,"---",(Výkazy!T64+Výkazy!T53+Výkazy!T48)/Výkazy!T75)</f>
        <v>9.2268491678550182E-2</v>
      </c>
      <c r="O3" s="282">
        <f>IF(Výkazy!U75=0,"---",(Výkazy!U64+Výkazy!U53+Výkazy!U48)/Výkazy!U75)</f>
        <v>0.13236655851371107</v>
      </c>
      <c r="P3" s="282">
        <f>IF(Výkazy!V75=0,"---",(Výkazy!V64+Výkazy!V53+Výkazy!V48)/Výkazy!V75)</f>
        <v>4.1080135577341942E-2</v>
      </c>
      <c r="Q3" s="282">
        <f>IF(Výkazy!W75=0,"---",(Výkazy!W64+Výkazy!W53+Výkazy!W48)/Výkazy!W75)</f>
        <v>1.7854069987623008E-2</v>
      </c>
      <c r="R3" s="282">
        <f>IF(Výkazy!X75=0,"---",(Výkazy!X64+Výkazy!X53+Výkazy!X48)/Výkazy!X75)</f>
        <v>1.7993885888864396E-2</v>
      </c>
      <c r="S3" s="282">
        <f>IF(Výkazy!Y75=0,"---",(Výkazy!Y64+Výkazy!Y53+Výkazy!Y48)/Výkazy!Y75)</f>
        <v>4.090721407236303E-2</v>
      </c>
      <c r="T3" s="282">
        <f>IF(Výkazy!Z75=0,"---",(Výkazy!Z64+Výkazy!Z53+Výkazy!Z48)/Výkazy!Z75)</f>
        <v>7.9657564939598982E-2</v>
      </c>
    </row>
    <row r="4" spans="2:20" x14ac:dyDescent="0.2">
      <c r="B4" s="276" t="s">
        <v>250</v>
      </c>
      <c r="C4" s="282">
        <f>IF(Trendy!D3=0,"---",Trendy!D10/Trendy!D3)</f>
        <v>1.9850022055580063E-2</v>
      </c>
      <c r="D4" s="282">
        <f>IF(Trendy!E3=0,"---",Trendy!E10/Trendy!E3)</f>
        <v>0.68700814579594094</v>
      </c>
      <c r="E4" s="282">
        <f>IF(Trendy!F3=0,"---",Trendy!F10/Trendy!F3)</f>
        <v>0.41335099648080448</v>
      </c>
      <c r="F4" s="282">
        <f>IF(Trendy!G3=0,"---",Trendy!G10/Trendy!G3)</f>
        <v>1.4564039544996859E-2</v>
      </c>
      <c r="G4" s="282">
        <f>IF(Trendy!H3=0,"---",Trendy!H10/Trendy!H3)</f>
        <v>0.30402828528688819</v>
      </c>
      <c r="H4" s="282">
        <f>IF(Trendy!I3=0,"---",Trendy!I10/Trendy!I3)</f>
        <v>8.7802992545908176E-2</v>
      </c>
      <c r="I4" s="282">
        <f>IF(Trendy!J3=0,"---",Trendy!J10/Trendy!J3)</f>
        <v>0.2127471814609263</v>
      </c>
      <c r="J4" s="282">
        <f>IF(Trendy!K3=0,"---",Trendy!K10/Trendy!K3)</f>
        <v>0.19495535727812011</v>
      </c>
      <c r="K4" s="282">
        <f>IF(Trendy!L3=0,"---",Trendy!L10/Trendy!L3)</f>
        <v>0.20080820175756645</v>
      </c>
      <c r="L4" s="282">
        <f>IF(Trendy!M3=0,"---",Trendy!M10/Trendy!M3)</f>
        <v>7.6189635298161418E-2</v>
      </c>
      <c r="M4" s="282">
        <f>IF(Trendy!N3=0,"---",Trendy!N10/Trendy!N3)</f>
        <v>3.6836158309108517E-2</v>
      </c>
      <c r="N4" s="282">
        <f>IF(Trendy!O3=0,"---",Trendy!O10/Trendy!O3)</f>
        <v>9.2829190655460345E-2</v>
      </c>
      <c r="O4" s="282">
        <f>IF(Trendy!P3=0,"---",Trendy!P10/Trendy!P3)</f>
        <v>0.10845939839347588</v>
      </c>
      <c r="P4" s="282">
        <f>IF(Trendy!Q3=0,"---",Trendy!Q10/Trendy!Q3)</f>
        <v>5.5231187467777269E-3</v>
      </c>
      <c r="Q4" s="282">
        <f>IF(Trendy!R3=0,"---",Trendy!R10/Trendy!R3)</f>
        <v>2.1247085760454207E-4</v>
      </c>
      <c r="R4" s="282">
        <f>IF(Trendy!S3=0,"---",Trendy!S10/Trendy!S3)</f>
        <v>1.2888212049369085E-3</v>
      </c>
      <c r="S4" s="282">
        <f>IF(Trendy!T3=0,"---",Trendy!T10/Trendy!T3)</f>
        <v>3.1160138256380237E-2</v>
      </c>
      <c r="T4" s="282">
        <f>IF(Trendy!U3=0,"---",Trendy!U10/Trendy!U3)</f>
        <v>0.10979816248721068</v>
      </c>
    </row>
    <row r="5" spans="2:20" x14ac:dyDescent="0.2">
      <c r="B5" s="276" t="s">
        <v>251</v>
      </c>
      <c r="C5" s="282">
        <f>IF(Výkazy!I75=0,"---",'Ziskovost a náklady'!C9/Výkazy!I75)</f>
        <v>8.0726743009751946E-3</v>
      </c>
      <c r="D5" s="282">
        <f>IF(Výkazy!J75=0,"---",'Ziskovost a náklady'!D9/Výkazy!J75)</f>
        <v>0.17181836693137853</v>
      </c>
      <c r="E5" s="282">
        <f>IF(Výkazy!K75=0,"---",'Ziskovost a náklady'!E9/Výkazy!K75)</f>
        <v>0.14785315479366562</v>
      </c>
      <c r="F5" s="282">
        <f>IF(Výkazy!L75=0,"---",'Ziskovost a náklady'!F9/Výkazy!L75)</f>
        <v>5.4064722956545857E-3</v>
      </c>
      <c r="G5" s="282">
        <f>IF(Výkazy!M75=0,"---",'Ziskovost a náklady'!G9/Výkazy!M75)</f>
        <v>0.13483890604293475</v>
      </c>
      <c r="H5" s="282">
        <f>IF(Výkazy!N75=0,"---",'Ziskovost a náklady'!H9/Výkazy!N75)</f>
        <v>3.4492764550846253E-2</v>
      </c>
      <c r="I5" s="282">
        <f>IF(Výkazy!O75=0,"---",'Ziskovost a náklady'!I9/Výkazy!O75)</f>
        <v>0.1234712210713988</v>
      </c>
      <c r="J5" s="282">
        <f>IF(Výkazy!P75=0,"---",'Ziskovost a náklady'!J9/Výkazy!P75)</f>
        <v>0.12922352224684452</v>
      </c>
      <c r="K5" s="282">
        <f>IF(Výkazy!Q75=0,"---",'Ziskovost a náklady'!K9/Výkazy!Q75)</f>
        <v>0.13085432205121786</v>
      </c>
      <c r="L5" s="282">
        <f>IF(Výkazy!R75=0,"---",'Ziskovost a náklady'!L9/Výkazy!R75)</f>
        <v>4.8341109520092448E-2</v>
      </c>
      <c r="M5" s="282">
        <f>IF(Výkazy!S75=0,"---",'Ziskovost a náklady'!M9/Výkazy!S75)</f>
        <v>2.5292010241528218E-2</v>
      </c>
      <c r="N5" s="282">
        <f>IF(Výkazy!T75=0,"---",'Ziskovost a náklady'!N9/Výkazy!T75)</f>
        <v>6.8732854546379868E-2</v>
      </c>
      <c r="O5" s="282">
        <f>IF(Výkazy!U75=0,"---",'Ziskovost a náklady'!O9/Výkazy!U75)</f>
        <v>9.976227100632569E-2</v>
      </c>
      <c r="P5" s="282">
        <f>IF(Výkazy!V75=0,"---",'Ziskovost a náklady'!P9/Výkazy!V75)</f>
        <v>6.5563041966708287E-3</v>
      </c>
      <c r="Q5" s="282">
        <f>IF(Výkazy!W75=0,"---",'Ziskovost a náklady'!Q9/Výkazy!W75)</f>
        <v>1.3788934140981605E-3</v>
      </c>
      <c r="R5" s="282">
        <f>IF(Výkazy!X75=0,"---",'Ziskovost a náklady'!R9/Výkazy!X75)</f>
        <v>5.4150185264196619E-3</v>
      </c>
      <c r="S5" s="282">
        <f>IF(Výkazy!Y75=0,"---",'Ziskovost a náklady'!S9/Výkazy!Y75)</f>
        <v>2.5759139060789447E-2</v>
      </c>
      <c r="T5" s="282">
        <f>IF(Výkazy!Z75=0,"---",'Ziskovost a náklady'!T9/Výkazy!Z75)</f>
        <v>7.5562547019790011E-2</v>
      </c>
    </row>
    <row r="6" spans="2:20" x14ac:dyDescent="0.2">
      <c r="B6" s="276" t="s">
        <v>136</v>
      </c>
      <c r="C6" s="282">
        <f>IF(Trendy!D4=0,"---",Trendy!D10/Trendy!D4)</f>
        <v>2.0048115477145148E-3</v>
      </c>
      <c r="D6" s="282">
        <f>IF(Trendy!E4=0,"---",Trendy!E10/Trendy!E4)</f>
        <v>0.16816776221294716</v>
      </c>
      <c r="E6" s="282">
        <f>IF(Trendy!F4=0,"---",Trendy!F10/Trendy!F4)</f>
        <v>0.16464391324869465</v>
      </c>
      <c r="F6" s="282">
        <f>IF(Trendy!G4=0,"---",Trendy!G10/Trendy!G4)</f>
        <v>5.6729253526576163E-3</v>
      </c>
      <c r="G6" s="282">
        <f>IF(Trendy!H4=0,"---",Trendy!H10/Trendy!H4)</f>
        <v>0.16620683631217301</v>
      </c>
      <c r="H6" s="282">
        <f>IF(Trendy!I4=0,"---",Trendy!I10/Trendy!I4)</f>
        <v>3.492910951113451E-2</v>
      </c>
      <c r="I6" s="282">
        <f>IF(Trendy!J4=0,"---",Trendy!J10/Trendy!J4)</f>
        <v>0.17929686097036593</v>
      </c>
      <c r="J6" s="282">
        <f>IF(Trendy!K4=0,"---",Trendy!K10/Trendy!K4)</f>
        <v>0.2157210339093249</v>
      </c>
      <c r="K6" s="282">
        <f>IF(Trendy!L4=0,"---",Trendy!L10/Trendy!L4)</f>
        <v>0.21415285330196382</v>
      </c>
      <c r="L6" s="282">
        <f>IF(Trendy!M4=0,"---",Trendy!M10/Trendy!M4)</f>
        <v>7.1498069267935449E-2</v>
      </c>
      <c r="M6" s="282">
        <f>IF(Trendy!N4=0,"---",Trendy!N10/Trendy!N4)</f>
        <v>3.6399979118553673E-2</v>
      </c>
      <c r="N6" s="282">
        <f>IF(Trendy!O4=0,"---",Trendy!O10/Trendy!O4)</f>
        <v>0.13485481433708893</v>
      </c>
      <c r="O6" s="282">
        <f>IF(Trendy!P4=0,"---",Trendy!P10/Trendy!P4)</f>
        <v>0.28306197544243178</v>
      </c>
      <c r="P6" s="282">
        <f>IF(Trendy!Q4=0,"---",Trendy!Q10/Trendy!Q4)</f>
        <v>2.3368380684832504E-2</v>
      </c>
      <c r="Q6" s="282">
        <f>IF(Trendy!R4=0,"---",Trendy!R10/Trendy!R4)</f>
        <v>1.9298179430859207E-4</v>
      </c>
      <c r="R6" s="282">
        <f>IF(Trendy!S4=0,"---",Trendy!S10/Trendy!S4)</f>
        <v>1.2366165983962926E-3</v>
      </c>
      <c r="S6" s="282">
        <f>IF(Trendy!T4=0,"---",Trendy!T10/Trendy!T4)</f>
        <v>4.2692156545508529E-2</v>
      </c>
      <c r="T6" s="282">
        <f>IF(Trendy!U4=0,"---",Trendy!U10/Trendy!U4)</f>
        <v>0.21622533143539324</v>
      </c>
    </row>
    <row r="7" spans="2:20" x14ac:dyDescent="0.2">
      <c r="B7" s="276" t="s">
        <v>137</v>
      </c>
      <c r="C7" s="282">
        <f>IF(Likvidita!C35=0,"---",Trendy!D10/Likvidita!C35)</f>
        <v>-2.7010804321728692E-2</v>
      </c>
      <c r="D7" s="282">
        <f>IF(Likvidita!D35=0,"---",Trendy!E10/Likvidita!D35)</f>
        <v>7.3284241531664209</v>
      </c>
      <c r="E7" s="282">
        <f>IF(Likvidita!E35=0,"---",Trendy!F10/Likvidita!E35)</f>
        <v>1.9017978983736954</v>
      </c>
      <c r="F7" s="282">
        <f>IF(Likvidita!F35=0,"---",Trendy!G10/Likvidita!F35)</f>
        <v>-0.33416986720594122</v>
      </c>
      <c r="G7" s="282">
        <f>IF(Likvidita!G35=0,"---",Trendy!H10/Likvidita!G35)</f>
        <v>5.5589145255020931</v>
      </c>
      <c r="H7" s="282">
        <f>IF(Likvidita!H35=0,"---",Trendy!I10/Likvidita!H35)</f>
        <v>0.8595955047226097</v>
      </c>
      <c r="I7" s="282">
        <f>IF(Likvidita!I35=0,"---",Trendy!J10/Likvidita!I35)</f>
        <v>-2.833056690021388</v>
      </c>
      <c r="J7" s="282">
        <f>IF(Likvidita!J35=0,"---",Trendy!K10/Likvidita!J35)</f>
        <v>-1.2938202599887918</v>
      </c>
      <c r="K7" s="282">
        <f>IF(Likvidita!K35=0,"---",Trendy!L10/Likvidita!K35)</f>
        <v>10.324229012633667</v>
      </c>
      <c r="L7" s="282">
        <f>IF(Likvidita!L35=0,"---",Trendy!M10/Likvidita!L35)</f>
        <v>1.7855790962746789</v>
      </c>
      <c r="M7" s="282">
        <f>IF(Likvidita!M35=0,"---",Trendy!N10/Likvidita!M35)</f>
        <v>0.43183744229959703</v>
      </c>
      <c r="N7" s="282">
        <f>IF(Likvidita!N35=0,"---",Trendy!O10/Likvidita!N35)</f>
        <v>0.25238119083617927</v>
      </c>
      <c r="O7" s="282">
        <f>IF(Likvidita!O35=0,"---",Trendy!P10/Likvidita!O35)</f>
        <v>0.27922695394691122</v>
      </c>
      <c r="P7" s="282">
        <f>IF(Likvidita!P35=0,"---",Trendy!Q10/Likvidita!P35)</f>
        <v>1.3102393767086565E-2</v>
      </c>
      <c r="Q7" s="282">
        <f>IF(Likvidita!Q35=0,"---",Trendy!R10/Likvidita!Q35)</f>
        <v>7.0539570437874114E-4</v>
      </c>
      <c r="R7" s="282">
        <f>IF(Likvidita!R35=0,"---",Trendy!S10/Likvidita!R35)</f>
        <v>3.497417881242252E-3</v>
      </c>
      <c r="S7" s="282" t="str">
        <f>IF(Likvidita!U35=0,"---",Trendy!T10/Likvidita!U35)</f>
        <v>---</v>
      </c>
      <c r="T7" s="282" t="str">
        <f>IF(Likvidita!V35=0,"---",Trendy!U10/Likvidita!V35)</f>
        <v>---</v>
      </c>
    </row>
    <row r="30" spans="2:20" ht="99" customHeight="1" x14ac:dyDescent="0.2"/>
    <row r="31" spans="2:20" x14ac:dyDescent="0.2">
      <c r="B31" s="267" t="s">
        <v>331</v>
      </c>
      <c r="C31" s="268">
        <f>Výkazy!I$3</f>
        <v>2007</v>
      </c>
      <c r="D31" s="268">
        <f>Výkazy!J$3</f>
        <v>2008</v>
      </c>
      <c r="E31" s="268">
        <f>Výkazy!K$3</f>
        <v>2009</v>
      </c>
      <c r="F31" s="268">
        <f>Výkazy!L$3</f>
        <v>2010</v>
      </c>
      <c r="G31" s="268">
        <f>Výkazy!M$3</f>
        <v>2011</v>
      </c>
      <c r="H31" s="268">
        <f>Výkazy!N$3</f>
        <v>2012</v>
      </c>
      <c r="I31" s="268">
        <f>Výkazy!O$3</f>
        <v>2013</v>
      </c>
      <c r="J31" s="268">
        <f>Výkazy!P$3</f>
        <v>2014</v>
      </c>
      <c r="K31" s="268">
        <f>Výkazy!Q$3</f>
        <v>2015</v>
      </c>
      <c r="L31" s="268">
        <f>Výkazy!R$3</f>
        <v>2016</v>
      </c>
      <c r="M31" s="268">
        <f>Výkazy!S$3</f>
        <v>2017</v>
      </c>
      <c r="N31" s="268">
        <f>Výkazy!T$3</f>
        <v>2018</v>
      </c>
      <c r="O31" s="268">
        <f>Výkazy!U$3</f>
        <v>2019</v>
      </c>
      <c r="P31" s="268">
        <f>Výkazy!V$3</f>
        <v>2020</v>
      </c>
      <c r="Q31" s="268">
        <f>Výkazy!W$3</f>
        <v>2021</v>
      </c>
      <c r="R31" s="268">
        <f>Výkazy!X$3</f>
        <v>2022</v>
      </c>
      <c r="S31" s="268">
        <f>Výkazy!Y$3</f>
        <v>2023</v>
      </c>
      <c r="T31" s="268">
        <f>Výkazy!Z$3</f>
        <v>2024</v>
      </c>
    </row>
    <row r="32" spans="2:20" x14ac:dyDescent="0.2">
      <c r="B32" s="269" t="s">
        <v>332</v>
      </c>
      <c r="C32" s="275">
        <f t="shared" ref="C32:H32" si="0">C4</f>
        <v>1.9850022055580063E-2</v>
      </c>
      <c r="D32" s="275">
        <f t="shared" si="0"/>
        <v>0.68700814579594094</v>
      </c>
      <c r="E32" s="275">
        <f t="shared" si="0"/>
        <v>0.41335099648080448</v>
      </c>
      <c r="F32" s="275">
        <f t="shared" si="0"/>
        <v>1.4564039544996859E-2</v>
      </c>
      <c r="G32" s="275">
        <f t="shared" si="0"/>
        <v>0.30402828528688819</v>
      </c>
      <c r="H32" s="275">
        <f t="shared" si="0"/>
        <v>8.7802992545908176E-2</v>
      </c>
      <c r="I32" s="275">
        <f t="shared" ref="I32:J32" si="1">I4</f>
        <v>0.2127471814609263</v>
      </c>
      <c r="J32" s="275">
        <f t="shared" si="1"/>
        <v>0.19495535727812011</v>
      </c>
      <c r="K32" s="275">
        <f t="shared" ref="K32:L32" si="2">K4</f>
        <v>0.20080820175756645</v>
      </c>
      <c r="L32" s="275">
        <f t="shared" si="2"/>
        <v>7.6189635298161418E-2</v>
      </c>
      <c r="M32" s="275">
        <f t="shared" ref="M32:N32" si="3">M4</f>
        <v>3.6836158309108517E-2</v>
      </c>
      <c r="N32" s="275">
        <f t="shared" si="3"/>
        <v>9.2829190655460345E-2</v>
      </c>
      <c r="O32" s="275">
        <f t="shared" ref="O32:P32" si="4">O4</f>
        <v>0.10845939839347588</v>
      </c>
      <c r="P32" s="275">
        <f t="shared" si="4"/>
        <v>5.5231187467777269E-3</v>
      </c>
      <c r="Q32" s="275">
        <f t="shared" ref="Q32:R32" si="5">Q4</f>
        <v>2.1247085760454207E-4</v>
      </c>
      <c r="R32" s="275">
        <f t="shared" si="5"/>
        <v>1.2888212049369085E-3</v>
      </c>
      <c r="S32" s="275">
        <f t="shared" ref="S32:T32" si="6">S4</f>
        <v>3.1160138256380237E-2</v>
      </c>
      <c r="T32" s="275">
        <f t="shared" si="6"/>
        <v>0.10979816248721068</v>
      </c>
    </row>
    <row r="33" spans="2:20" x14ac:dyDescent="0.2">
      <c r="B33" s="269" t="s">
        <v>333</v>
      </c>
      <c r="C33" s="275"/>
      <c r="D33" s="275"/>
      <c r="E33" s="275"/>
      <c r="F33" s="275"/>
      <c r="G33" s="275"/>
      <c r="H33" s="285"/>
      <c r="I33" s="285"/>
      <c r="J33" s="285"/>
      <c r="K33" s="285"/>
      <c r="L33" s="285"/>
      <c r="M33" s="285"/>
      <c r="N33" s="285"/>
      <c r="O33" s="285"/>
      <c r="P33" s="285"/>
      <c r="Q33" s="285"/>
      <c r="R33" s="285"/>
      <c r="S33" s="285"/>
      <c r="T33" s="285"/>
    </row>
    <row r="34" spans="2:20" x14ac:dyDescent="0.2">
      <c r="B34" s="286" t="s">
        <v>334</v>
      </c>
    </row>
  </sheetData>
  <phoneticPr fontId="0" type="noConversion"/>
  <printOptions gridLinesSet="0"/>
  <pageMargins left="0.59055118110236227" right="0" top="0.39370078740157483" bottom="0.39370078740157483" header="0.51181102362204722" footer="0.31496062992125984"/>
  <pageSetup paperSize="9" orientation="portrait" horizontalDpi="300" verticalDpi="300" r:id="rId1"/>
  <headerFooter alignWithMargins="0">
    <oddFooter>&amp;C&amp;F / &amp;D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70" transitionEvaluation="1" transitionEntry="1" codeName="List8"/>
  <dimension ref="B2:T74"/>
  <sheetViews>
    <sheetView showGridLines="0" topLeftCell="A70" zoomScale="140" zoomScaleNormal="140" workbookViewId="0">
      <selection activeCell="T1" sqref="T1:T1048576"/>
    </sheetView>
  </sheetViews>
  <sheetFormatPr defaultColWidth="9.83203125" defaultRowHeight="11.25" outlineLevelCol="1" x14ac:dyDescent="0.2"/>
  <cols>
    <col min="1" max="1" width="2.5" customWidth="1"/>
    <col min="2" max="2" width="31.6640625" style="273" bestFit="1" customWidth="1"/>
    <col min="3" max="3" width="5.6640625" style="273" hidden="1" customWidth="1" outlineLevel="1"/>
    <col min="4" max="5" width="5.33203125" style="273" hidden="1" customWidth="1" outlineLevel="1"/>
    <col min="6" max="6" width="5.6640625" style="273" hidden="1" customWidth="1" outlineLevel="1"/>
    <col min="7" max="8" width="5.33203125" style="273" hidden="1" customWidth="1" outlineLevel="1"/>
    <col min="9" max="9" width="5.6640625" style="273" bestFit="1" customWidth="1" collapsed="1"/>
    <col min="10" max="10" width="6.33203125" style="273" bestFit="1" customWidth="1"/>
    <col min="11" max="11" width="5.33203125" style="273" bestFit="1" customWidth="1"/>
    <col min="12" max="20" width="5.83203125" style="273" bestFit="1" customWidth="1"/>
    <col min="21" max="29" width="9.83203125" customWidth="1"/>
    <col min="37" max="37" width="3.83203125" customWidth="1"/>
    <col min="49" max="49" width="3.83203125" customWidth="1"/>
    <col min="116" max="116" width="4.83203125" customWidth="1"/>
  </cols>
  <sheetData>
    <row r="2" spans="2:20" x14ac:dyDescent="0.2">
      <c r="B2" s="267" t="s">
        <v>292</v>
      </c>
      <c r="C2" s="268">
        <f>Výkazy!I$3</f>
        <v>2007</v>
      </c>
      <c r="D2" s="268">
        <f>Výkazy!J$3</f>
        <v>2008</v>
      </c>
      <c r="E2" s="268">
        <f>Výkazy!K$3</f>
        <v>2009</v>
      </c>
      <c r="F2" s="268">
        <f>Výkazy!L$3</f>
        <v>2010</v>
      </c>
      <c r="G2" s="268">
        <f>Výkazy!M$3</f>
        <v>2011</v>
      </c>
      <c r="H2" s="268">
        <f>Výkazy!N$3</f>
        <v>2012</v>
      </c>
      <c r="I2" s="268">
        <f>Výkazy!O$3</f>
        <v>2013</v>
      </c>
      <c r="J2" s="268">
        <f>Výkazy!P$3</f>
        <v>2014</v>
      </c>
      <c r="K2" s="268">
        <f>Výkazy!Q$3</f>
        <v>2015</v>
      </c>
      <c r="L2" s="268">
        <f>Výkazy!R$3</f>
        <v>2016</v>
      </c>
      <c r="M2" s="268">
        <f>Výkazy!S$3</f>
        <v>2017</v>
      </c>
      <c r="N2" s="268">
        <f>Výkazy!T$3</f>
        <v>2018</v>
      </c>
      <c r="O2" s="268">
        <f>Výkazy!U$3</f>
        <v>2019</v>
      </c>
      <c r="P2" s="268">
        <f>Výkazy!V$3</f>
        <v>2020</v>
      </c>
      <c r="Q2" s="268">
        <f>Výkazy!W$3</f>
        <v>2021</v>
      </c>
      <c r="R2" s="268">
        <f>Výkazy!X$3</f>
        <v>2022</v>
      </c>
      <c r="S2" s="268">
        <f>Výkazy!Y$3</f>
        <v>2023</v>
      </c>
      <c r="T2" s="268">
        <f>Výkazy!Z$3</f>
        <v>2024</v>
      </c>
    </row>
    <row r="3" spans="2:20" x14ac:dyDescent="0.2">
      <c r="B3" s="276" t="s">
        <v>65</v>
      </c>
      <c r="C3" s="270">
        <f>Výkazy!I106</f>
        <v>60</v>
      </c>
      <c r="D3" s="270">
        <f>Výkazy!J106</f>
        <v>108</v>
      </c>
      <c r="E3" s="270">
        <f>Výkazy!K106</f>
        <v>220.14198000000002</v>
      </c>
      <c r="F3" s="270">
        <f>Výkazy!L106</f>
        <v>304.32598000000002</v>
      </c>
      <c r="G3" s="270">
        <f>Výkazy!M106</f>
        <v>379.77363000000003</v>
      </c>
      <c r="H3" s="270">
        <f>Výkazy!N106</f>
        <v>485.75029999999998</v>
      </c>
      <c r="I3" s="270">
        <f>Výkazy!O106</f>
        <v>626.48724000000004</v>
      </c>
      <c r="J3" s="270">
        <f>Výkazy!P106</f>
        <v>755.07294000000002</v>
      </c>
      <c r="K3" s="270">
        <f>Výkazy!Q106</f>
        <v>1299.5547099999999</v>
      </c>
      <c r="L3" s="270">
        <f>Výkazy!R106</f>
        <v>2382.0732599999997</v>
      </c>
      <c r="M3" s="270">
        <f>Výkazy!S106</f>
        <v>2250.7378799999997</v>
      </c>
      <c r="N3" s="270">
        <f>Výkazy!T106</f>
        <v>2519.1778300000001</v>
      </c>
      <c r="O3" s="270">
        <f>Výkazy!U106</f>
        <v>2583.0103500000005</v>
      </c>
      <c r="P3" s="270">
        <f>Výkazy!V106</f>
        <v>2294.7146699999998</v>
      </c>
      <c r="Q3" s="270">
        <f>Výkazy!W106</f>
        <v>2548.63</v>
      </c>
      <c r="R3" s="270">
        <f>Výkazy!X106</f>
        <v>2585.02781</v>
      </c>
      <c r="S3" s="270">
        <f>Výkazy!Y106</f>
        <v>2304.10194</v>
      </c>
      <c r="T3" s="270">
        <f>Výkazy!Z106</f>
        <v>844.15719999999999</v>
      </c>
    </row>
    <row r="4" spans="2:20" x14ac:dyDescent="0.2">
      <c r="B4" s="276" t="s">
        <v>74</v>
      </c>
      <c r="C4" s="270">
        <f>Výkazy!I122</f>
        <v>25673</v>
      </c>
      <c r="D4" s="270">
        <f>Výkazy!J122</f>
        <v>41712</v>
      </c>
      <c r="E4" s="270">
        <f>Výkazy!K122</f>
        <v>52925.551119999996</v>
      </c>
      <c r="F4" s="270">
        <f>Výkazy!L122</f>
        <v>53069.635750000001</v>
      </c>
      <c r="G4" s="270">
        <f>Výkazy!M122</f>
        <v>58134.48762</v>
      </c>
      <c r="H4" s="270">
        <f>Výkazy!N122</f>
        <v>52863.096610000001</v>
      </c>
      <c r="I4" s="270">
        <f>Výkazy!O122</f>
        <v>72100.200710000005</v>
      </c>
      <c r="J4" s="270">
        <f>Výkazy!P122</f>
        <v>61982.356130000007</v>
      </c>
      <c r="K4" s="270">
        <f>Výkazy!Q122</f>
        <v>77275.591959999991</v>
      </c>
      <c r="L4" s="270">
        <f>Výkazy!R122</f>
        <v>65473.125039999999</v>
      </c>
      <c r="M4" s="270">
        <f>Výkazy!S122</f>
        <v>80024.036560000008</v>
      </c>
      <c r="N4" s="270">
        <f>Výkazy!T122</f>
        <v>92146.56276999999</v>
      </c>
      <c r="O4" s="270">
        <f>Výkazy!U122</f>
        <v>59598.759140000002</v>
      </c>
      <c r="P4" s="270">
        <f>Výkazy!V122</f>
        <v>62148.340620000003</v>
      </c>
      <c r="Q4" s="270">
        <f>Výkazy!W122</f>
        <v>58477.154419999999</v>
      </c>
      <c r="R4" s="270">
        <f>Výkazy!X122</f>
        <v>76014.62298</v>
      </c>
      <c r="S4" s="270">
        <f>Výkazy!Y122</f>
        <v>64077.716619999999</v>
      </c>
      <c r="T4" s="270">
        <f>Výkazy!Z122</f>
        <v>51803.684669999995</v>
      </c>
    </row>
    <row r="5" spans="2:20" x14ac:dyDescent="0.2">
      <c r="B5" s="276" t="s">
        <v>80</v>
      </c>
      <c r="C5" s="270">
        <f>Výkazy!I132</f>
        <v>2117</v>
      </c>
      <c r="D5" s="270">
        <f>Výkazy!J132</f>
        <v>4557</v>
      </c>
      <c r="E5" s="270">
        <f>Výkazy!K132</f>
        <v>3922.4315300000003</v>
      </c>
      <c r="F5" s="270">
        <f>Výkazy!L132</f>
        <v>4341.79475</v>
      </c>
      <c r="G5" s="270">
        <f>Výkazy!M132</f>
        <v>5684.2079999999996</v>
      </c>
      <c r="H5" s="270">
        <f>Výkazy!N132</f>
        <v>16922.77723</v>
      </c>
      <c r="I5" s="270">
        <f>Výkazy!O132</f>
        <v>10129.83726</v>
      </c>
      <c r="J5" s="270">
        <f>Výkazy!P132</f>
        <v>13214.85281</v>
      </c>
      <c r="K5" s="270">
        <f>Výkazy!Q132</f>
        <v>13850.607019999999</v>
      </c>
      <c r="L5" s="270">
        <f>Výkazy!R132</f>
        <v>15621.459429999999</v>
      </c>
      <c r="M5" s="270">
        <f>Výkazy!S132</f>
        <v>25056.753659999998</v>
      </c>
      <c r="N5" s="270">
        <f>Výkazy!T132</f>
        <v>25868.144459999996</v>
      </c>
      <c r="O5" s="270">
        <f>Výkazy!U132</f>
        <v>35209.547470000005</v>
      </c>
      <c r="P5" s="270">
        <f>Výkazy!V132</f>
        <v>28108.71457</v>
      </c>
      <c r="Q5" s="270">
        <f>Výkazy!W132</f>
        <v>29382.749110000001</v>
      </c>
      <c r="R5" s="270">
        <f>Výkazy!X132</f>
        <v>26187.521700000001</v>
      </c>
      <c r="S5" s="270">
        <f>Výkazy!Y132</f>
        <v>33703.514560000003</v>
      </c>
      <c r="T5" s="270">
        <f>Výkazy!Z132</f>
        <v>21149.971260000002</v>
      </c>
    </row>
    <row r="6" spans="2:20" x14ac:dyDescent="0.2">
      <c r="B6" s="283" t="s">
        <v>293</v>
      </c>
      <c r="C6" s="284">
        <f t="shared" ref="C6:H6" si="0">SUM(C3:C5)</f>
        <v>27850</v>
      </c>
      <c r="D6" s="284">
        <f t="shared" si="0"/>
        <v>46377</v>
      </c>
      <c r="E6" s="284">
        <f t="shared" si="0"/>
        <v>57068.124629999998</v>
      </c>
      <c r="F6" s="284">
        <f t="shared" si="0"/>
        <v>57715.756480000004</v>
      </c>
      <c r="G6" s="284">
        <f t="shared" si="0"/>
        <v>64198.469250000002</v>
      </c>
      <c r="H6" s="284">
        <f t="shared" si="0"/>
        <v>70271.62414</v>
      </c>
      <c r="I6" s="284">
        <f t="shared" ref="I6:J6" si="1">SUM(I3:I5)</f>
        <v>82856.525210000007</v>
      </c>
      <c r="J6" s="284">
        <f t="shared" si="1"/>
        <v>75952.28188000001</v>
      </c>
      <c r="K6" s="284">
        <f t="shared" ref="K6:L6" si="2">SUM(K3:K5)</f>
        <v>92425.753689999983</v>
      </c>
      <c r="L6" s="284">
        <f t="shared" si="2"/>
        <v>83476.657730000006</v>
      </c>
      <c r="M6" s="284">
        <f t="shared" ref="M6:N6" si="3">SUM(M3:M5)</f>
        <v>107331.52810000001</v>
      </c>
      <c r="N6" s="284">
        <f t="shared" si="3"/>
        <v>120533.88505999999</v>
      </c>
      <c r="O6" s="284">
        <f t="shared" ref="O6:P6" si="4">SUM(O3:O5)</f>
        <v>97391.316960000011</v>
      </c>
      <c r="P6" s="284">
        <f t="shared" si="4"/>
        <v>92551.76986</v>
      </c>
      <c r="Q6" s="284">
        <f t="shared" ref="Q6:R6" si="5">SUM(Q3:Q5)</f>
        <v>90408.533530000001</v>
      </c>
      <c r="R6" s="284">
        <f t="shared" si="5"/>
        <v>104787.17249</v>
      </c>
      <c r="S6" s="284">
        <f t="shared" ref="S6:T6" si="6">SUM(S3:S5)</f>
        <v>100085.33312</v>
      </c>
      <c r="T6" s="284">
        <f t="shared" si="6"/>
        <v>73797.813129999995</v>
      </c>
    </row>
    <row r="7" spans="2:20" x14ac:dyDescent="0.2">
      <c r="B7" s="276" t="s">
        <v>96</v>
      </c>
      <c r="C7" s="270">
        <f>Výkazy!I179</f>
        <v>30703</v>
      </c>
      <c r="D7" s="270">
        <f>Výkazy!J179</f>
        <v>41534</v>
      </c>
      <c r="E7" s="270">
        <f>Výkazy!K179</f>
        <v>47700.92972</v>
      </c>
      <c r="F7" s="270">
        <f>Výkazy!L179</f>
        <v>53807.147900000004</v>
      </c>
      <c r="G7" s="270">
        <f>Výkazy!M179</f>
        <v>58229.237909999996</v>
      </c>
      <c r="H7" s="270">
        <f>Výkazy!N179</f>
        <v>56239.821319999995</v>
      </c>
      <c r="I7" s="270">
        <f>Výkazy!O179</f>
        <v>60315.105969999997</v>
      </c>
      <c r="J7" s="270">
        <f>Výkazy!P179</f>
        <v>54089.444660000008</v>
      </c>
      <c r="K7" s="270">
        <f>Výkazy!Q179</f>
        <v>61389.32974999999</v>
      </c>
      <c r="L7" s="270">
        <f>Výkazy!R179</f>
        <v>63391.139220000005</v>
      </c>
      <c r="M7" s="270">
        <f>Výkazy!S179</f>
        <v>69011.341759999996</v>
      </c>
      <c r="N7" s="270">
        <f>Výkazy!T179</f>
        <v>58047.353140000007</v>
      </c>
      <c r="O7" s="270">
        <f>Výkazy!U179</f>
        <v>37151.282599999999</v>
      </c>
      <c r="P7" s="270">
        <f>Výkazy!V179</f>
        <v>28876.846419999998</v>
      </c>
      <c r="Q7" s="270">
        <f>Výkazy!W179</f>
        <v>36198.934880000001</v>
      </c>
      <c r="R7" s="270">
        <f>Výkazy!X179</f>
        <v>28422.023039999996</v>
      </c>
      <c r="S7" s="270">
        <f>Výkazy!Y179</f>
        <v>22722.22091</v>
      </c>
      <c r="T7" s="270">
        <f>Výkazy!Z179</f>
        <v>12682.91106</v>
      </c>
    </row>
    <row r="8" spans="2:20" x14ac:dyDescent="0.2">
      <c r="B8" s="276" t="s">
        <v>294</v>
      </c>
      <c r="C8" s="270">
        <f>Výkazy!I193+Výkazy!I194</f>
        <v>479</v>
      </c>
      <c r="D8" s="270">
        <f>Výkazy!J193+Výkazy!J194</f>
        <v>3485</v>
      </c>
      <c r="E8" s="270">
        <f>Výkazy!K193+Výkazy!K194</f>
        <v>4000</v>
      </c>
      <c r="F8" s="270">
        <f>Výkazy!L193+Výkazy!L194</f>
        <v>5000.7500499999996</v>
      </c>
      <c r="G8" s="270">
        <f>Výkazy!M193+Výkazy!M194</f>
        <v>4000</v>
      </c>
      <c r="H8" s="270">
        <f>Výkazy!N193+Výkazy!N194</f>
        <v>10000</v>
      </c>
      <c r="I8" s="270">
        <f>Výkazy!O193+Výkazy!O194</f>
        <v>28786.62715</v>
      </c>
      <c r="J8" s="270">
        <f>Výkazy!P193+Výkazy!P194</f>
        <v>37428.929939999995</v>
      </c>
      <c r="K8" s="270">
        <f>Výkazy!Q193+Výkazy!Q194</f>
        <v>28376.25</v>
      </c>
      <c r="L8" s="270">
        <f>Výkazy!R193+Výkazy!R194</f>
        <v>13768.38307</v>
      </c>
      <c r="M8" s="270">
        <f>Výkazy!S193+Výkazy!S194</f>
        <v>26449.34174</v>
      </c>
      <c r="N8" s="270">
        <f>Výkazy!T193+Výkazy!T194</f>
        <v>6062.2428799999998</v>
      </c>
      <c r="O8" s="327">
        <f>Výkazy!U193+Výkazy!U194</f>
        <v>0</v>
      </c>
      <c r="P8" s="327">
        <f>Výkazy!V193+Výkazy!V194</f>
        <v>0</v>
      </c>
      <c r="Q8" s="327">
        <f>Výkazy!W193+Výkazy!W194</f>
        <v>8701</v>
      </c>
      <c r="R8" s="327">
        <f>Výkazy!X193+Výkazy!X194</f>
        <v>20616.784050000002</v>
      </c>
      <c r="S8" s="327">
        <f>Výkazy!Y193+Výkazy!Y194</f>
        <v>0</v>
      </c>
      <c r="T8" s="327">
        <f>Výkazy!Z193+Výkazy!Z194</f>
        <v>0</v>
      </c>
    </row>
    <row r="9" spans="2:20" x14ac:dyDescent="0.2">
      <c r="B9" s="283" t="s">
        <v>295</v>
      </c>
      <c r="C9" s="284">
        <f t="shared" ref="C9:H9" si="7">SUM(C7:C8)</f>
        <v>31182</v>
      </c>
      <c r="D9" s="284">
        <f t="shared" si="7"/>
        <v>45019</v>
      </c>
      <c r="E9" s="284">
        <f t="shared" si="7"/>
        <v>51700.92972</v>
      </c>
      <c r="F9" s="284">
        <f t="shared" si="7"/>
        <v>58807.897950000006</v>
      </c>
      <c r="G9" s="284">
        <f t="shared" si="7"/>
        <v>62229.237909999996</v>
      </c>
      <c r="H9" s="284">
        <f t="shared" si="7"/>
        <v>66239.821319999988</v>
      </c>
      <c r="I9" s="284">
        <f t="shared" ref="I9:J9" si="8">SUM(I7:I8)</f>
        <v>89101.73311999999</v>
      </c>
      <c r="J9" s="284">
        <f t="shared" si="8"/>
        <v>91518.37460000001</v>
      </c>
      <c r="K9" s="284">
        <f t="shared" ref="K9:L9" si="9">SUM(K7:K8)</f>
        <v>89765.57974999999</v>
      </c>
      <c r="L9" s="284">
        <f t="shared" si="9"/>
        <v>77159.522290000008</v>
      </c>
      <c r="M9" s="284">
        <f t="shared" ref="M9:N9" si="10">SUM(M7:M8)</f>
        <v>95460.683499999999</v>
      </c>
      <c r="N9" s="284">
        <f t="shared" si="10"/>
        <v>64109.596020000005</v>
      </c>
      <c r="O9" s="284">
        <f t="shared" ref="O9:P9" si="11">SUM(O7:O8)</f>
        <v>37151.282599999999</v>
      </c>
      <c r="P9" s="284">
        <f t="shared" si="11"/>
        <v>28876.846419999998</v>
      </c>
      <c r="Q9" s="284">
        <f t="shared" ref="Q9:R9" si="12">SUM(Q7:Q8)</f>
        <v>44899.934880000001</v>
      </c>
      <c r="R9" s="284">
        <f t="shared" si="12"/>
        <v>49038.807090000002</v>
      </c>
      <c r="S9" s="284">
        <f t="shared" ref="S9:T9" si="13">SUM(S7:S8)</f>
        <v>22722.22091</v>
      </c>
      <c r="T9" s="284">
        <f t="shared" si="13"/>
        <v>12682.91106</v>
      </c>
    </row>
    <row r="10" spans="2:20" x14ac:dyDescent="0.2">
      <c r="B10" s="283" t="s">
        <v>296</v>
      </c>
      <c r="C10" s="284">
        <f t="shared" ref="C10:H10" si="14">C6-C9</f>
        <v>-3332</v>
      </c>
      <c r="D10" s="284">
        <f t="shared" si="14"/>
        <v>1358</v>
      </c>
      <c r="E10" s="284">
        <f t="shared" si="14"/>
        <v>5367.1949099999983</v>
      </c>
      <c r="F10" s="284">
        <f t="shared" si="14"/>
        <v>-1092.1414700000023</v>
      </c>
      <c r="G10" s="284">
        <f t="shared" si="14"/>
        <v>1969.2313400000057</v>
      </c>
      <c r="H10" s="284">
        <f t="shared" si="14"/>
        <v>4031.8028200000117</v>
      </c>
      <c r="I10" s="284">
        <f t="shared" ref="I10:J10" si="15">I6-I9</f>
        <v>-6245.2079099999828</v>
      </c>
      <c r="J10" s="284">
        <f t="shared" si="15"/>
        <v>-15566.092720000001</v>
      </c>
      <c r="K10" s="284">
        <f t="shared" ref="K10:L10" si="16">K6-K9</f>
        <v>2660.1739399999933</v>
      </c>
      <c r="L10" s="284">
        <f t="shared" si="16"/>
        <v>6317.1354399999982</v>
      </c>
      <c r="M10" s="284">
        <f t="shared" ref="M10:N10" si="17">M6-M9</f>
        <v>11870.844600000011</v>
      </c>
      <c r="N10" s="284">
        <f t="shared" si="17"/>
        <v>56424.289039999981</v>
      </c>
      <c r="O10" s="284">
        <f t="shared" ref="O10:P10" si="18">O6-O9</f>
        <v>60240.034360000012</v>
      </c>
      <c r="P10" s="284">
        <f t="shared" si="18"/>
        <v>63674.923439999999</v>
      </c>
      <c r="Q10" s="284">
        <f t="shared" ref="Q10:R10" si="19">Q6-Q9</f>
        <v>45508.59865</v>
      </c>
      <c r="R10" s="340">
        <f t="shared" si="19"/>
        <v>55748.365399999995</v>
      </c>
      <c r="S10" s="340">
        <f t="shared" ref="S10:T10" si="20">S6-S9</f>
        <v>77363.112209999992</v>
      </c>
      <c r="T10" s="340">
        <f t="shared" si="20"/>
        <v>61114.902069999996</v>
      </c>
    </row>
    <row r="12" spans="2:20" x14ac:dyDescent="0.2">
      <c r="B12" s="267" t="s">
        <v>297</v>
      </c>
      <c r="C12" s="268">
        <f>Výkazy!I$3</f>
        <v>2007</v>
      </c>
      <c r="D12" s="268">
        <f>Výkazy!J$3</f>
        <v>2008</v>
      </c>
      <c r="E12" s="268">
        <f>Výkazy!K$3</f>
        <v>2009</v>
      </c>
      <c r="F12" s="268">
        <f>Výkazy!L$3</f>
        <v>2010</v>
      </c>
      <c r="G12" s="268">
        <f>Výkazy!M$3</f>
        <v>2011</v>
      </c>
      <c r="H12" s="268">
        <f>Výkazy!N$3</f>
        <v>2012</v>
      </c>
      <c r="I12" s="268">
        <f>Výkazy!O$3</f>
        <v>2013</v>
      </c>
      <c r="J12" s="268">
        <f>Výkazy!P$3</f>
        <v>2014</v>
      </c>
      <c r="K12" s="268">
        <f>Výkazy!Q$3</f>
        <v>2015</v>
      </c>
      <c r="L12" s="268">
        <f>Výkazy!R$3</f>
        <v>2016</v>
      </c>
      <c r="M12" s="268">
        <f>Výkazy!S$3</f>
        <v>2017</v>
      </c>
      <c r="N12" s="268">
        <f>Výkazy!T$3</f>
        <v>2018</v>
      </c>
      <c r="O12" s="268">
        <f>Výkazy!U$3</f>
        <v>2019</v>
      </c>
      <c r="P12" s="268">
        <f>Výkazy!V$3</f>
        <v>2020</v>
      </c>
      <c r="Q12" s="268">
        <f>Výkazy!W$3</f>
        <v>2021</v>
      </c>
      <c r="R12" s="268">
        <f>Výkazy!X$3</f>
        <v>2022</v>
      </c>
      <c r="S12" s="268">
        <f>Výkazy!Y$3</f>
        <v>2023</v>
      </c>
      <c r="T12" s="268">
        <f>Výkazy!Z$3</f>
        <v>2024</v>
      </c>
    </row>
    <row r="13" spans="2:20" x14ac:dyDescent="0.2">
      <c r="B13" s="269" t="s">
        <v>296</v>
      </c>
      <c r="C13" s="270">
        <f t="shared" ref="C13:H13" si="21">C10</f>
        <v>-3332</v>
      </c>
      <c r="D13" s="270">
        <f t="shared" si="21"/>
        <v>1358</v>
      </c>
      <c r="E13" s="270">
        <f t="shared" si="21"/>
        <v>5367.1949099999983</v>
      </c>
      <c r="F13" s="270">
        <f t="shared" si="21"/>
        <v>-1092.1414700000023</v>
      </c>
      <c r="G13" s="270">
        <f t="shared" si="21"/>
        <v>1969.2313400000057</v>
      </c>
      <c r="H13" s="270">
        <f t="shared" si="21"/>
        <v>4031.8028200000117</v>
      </c>
      <c r="I13" s="270">
        <f t="shared" ref="I13:J13" si="22">I10</f>
        <v>-6245.2079099999828</v>
      </c>
      <c r="J13" s="270">
        <f t="shared" si="22"/>
        <v>-15566.092720000001</v>
      </c>
      <c r="K13" s="270">
        <f t="shared" ref="K13:L13" si="23">K10</f>
        <v>2660.1739399999933</v>
      </c>
      <c r="L13" s="270">
        <f t="shared" si="23"/>
        <v>6317.1354399999982</v>
      </c>
      <c r="M13" s="270">
        <f t="shared" ref="M13:N13" si="24">M10</f>
        <v>11870.844600000011</v>
      </c>
      <c r="N13" s="270">
        <f t="shared" si="24"/>
        <v>56424.289039999981</v>
      </c>
      <c r="O13" s="270">
        <f t="shared" ref="O13:P13" si="25">O10</f>
        <v>60240.034360000012</v>
      </c>
      <c r="P13" s="270">
        <f t="shared" si="25"/>
        <v>63674.923439999999</v>
      </c>
      <c r="Q13" s="270">
        <f t="shared" ref="Q13:R13" si="26">Q10</f>
        <v>45508.59865</v>
      </c>
      <c r="R13" s="270">
        <f t="shared" si="26"/>
        <v>55748.365399999995</v>
      </c>
      <c r="S13" s="270">
        <f t="shared" ref="S13:T13" si="27">S10</f>
        <v>77363.112209999992</v>
      </c>
      <c r="T13" s="270">
        <f t="shared" si="27"/>
        <v>61114.902069999996</v>
      </c>
    </row>
    <row r="30" spans="2:20" ht="105" customHeight="1" x14ac:dyDescent="0.2"/>
    <row r="31" spans="2:20" x14ac:dyDescent="0.2">
      <c r="B31" s="267" t="s">
        <v>138</v>
      </c>
      <c r="C31" s="268">
        <f>Výkazy!I$3</f>
        <v>2007</v>
      </c>
      <c r="D31" s="268">
        <f>Výkazy!J$3</f>
        <v>2008</v>
      </c>
      <c r="E31" s="268">
        <f>Výkazy!K$3</f>
        <v>2009</v>
      </c>
      <c r="F31" s="268">
        <f>Výkazy!L$3</f>
        <v>2010</v>
      </c>
      <c r="G31" s="268">
        <f>Výkazy!M$3</f>
        <v>2011</v>
      </c>
      <c r="H31" s="268">
        <f>Výkazy!N$3</f>
        <v>2012</v>
      </c>
      <c r="I31" s="268">
        <f>Výkazy!O$3</f>
        <v>2013</v>
      </c>
      <c r="J31" s="268">
        <f>Výkazy!P$3</f>
        <v>2014</v>
      </c>
      <c r="K31" s="268">
        <f>Výkazy!Q$3</f>
        <v>2015</v>
      </c>
      <c r="L31" s="268">
        <f>Výkazy!R$3</f>
        <v>2016</v>
      </c>
      <c r="M31" s="268">
        <f>Výkazy!S$3</f>
        <v>2017</v>
      </c>
      <c r="N31" s="268">
        <f>Výkazy!T$3</f>
        <v>2018</v>
      </c>
      <c r="O31" s="268">
        <f>Výkazy!U$3</f>
        <v>2019</v>
      </c>
      <c r="P31" s="268">
        <f>Výkazy!V$3</f>
        <v>2020</v>
      </c>
      <c r="Q31" s="268">
        <f>Výkazy!W$3</f>
        <v>2021</v>
      </c>
      <c r="R31" s="268">
        <f>Výkazy!X$3</f>
        <v>2022</v>
      </c>
      <c r="S31" s="268">
        <f>Výkazy!Y$3</f>
        <v>2023</v>
      </c>
      <c r="T31" s="268">
        <f>Výkazy!Z$3</f>
        <v>2024</v>
      </c>
    </row>
    <row r="32" spans="2:20" x14ac:dyDescent="0.2">
      <c r="B32" s="276" t="s">
        <v>246</v>
      </c>
      <c r="C32" s="287">
        <f>IF(Trendy!D14=0,"---",Výkazy!I132/Trendy!D14)</f>
        <v>6.7891732409723557E-2</v>
      </c>
      <c r="D32" s="287">
        <f>IF(Trendy!E14=0,"---",Výkazy!J132/Trendy!E14)</f>
        <v>0.10122392767498167</v>
      </c>
      <c r="E32" s="287">
        <f>IF(Trendy!F14=0,"---",Výkazy!K132/Trendy!F14)</f>
        <v>7.5867717490632397E-2</v>
      </c>
      <c r="F32" s="287">
        <f>IF(Trendy!G14=0,"---",Výkazy!L132/Trendy!G14)</f>
        <v>7.383012998851797E-2</v>
      </c>
      <c r="G32" s="287">
        <f>IF(Trendy!H14=0,"---",Výkazy!M132/Trendy!H14)</f>
        <v>9.1343043734857784E-2</v>
      </c>
      <c r="H32" s="287">
        <f>IF(Trendy!I14=0,"---",Výkazy!N132/Trendy!I14)</f>
        <v>0.25547739853112278</v>
      </c>
      <c r="I32" s="287">
        <f>IF(Trendy!J14=0,"---",Výkazy!O132/Trendy!J14)</f>
        <v>0.11368844247235223</v>
      </c>
      <c r="J32" s="287">
        <f>IF(Trendy!K14=0,"---",Výkazy!P132/Trendy!K14)</f>
        <v>0.14439562402368103</v>
      </c>
      <c r="K32" s="287">
        <f>IF(Trendy!L14=0,"---",Výkazy!Q132/Trendy!L14)</f>
        <v>0.15429752761107746</v>
      </c>
      <c r="L32" s="287">
        <f>IF(Trendy!M14=0,"---",Výkazy!R132/Trendy!M14)</f>
        <v>0.20245666336926718</v>
      </c>
      <c r="M32" s="287">
        <f>IF(Trendy!N14=0,"---",Výkazy!S132/Trendy!N14)</f>
        <v>0.26248244556095179</v>
      </c>
      <c r="N32" s="287">
        <f>IF(Trendy!O14=0,"---",Výkazy!T132/Trendy!O14)</f>
        <v>0.40349879060117644</v>
      </c>
      <c r="O32" s="287">
        <f>IF(Trendy!P14=0,"---",Výkazy!U132/Trendy!P14)</f>
        <v>0.94773437162570551</v>
      </c>
      <c r="P32" s="287">
        <f>IF(Trendy!Q14=0,"---",Výkazy!V132/Trendy!Q14)</f>
        <v>0.97339973213044506</v>
      </c>
      <c r="Q32" s="287">
        <f>IF(Trendy!R14=0,"---",Výkazy!W132/Trendy!R14)</f>
        <v>0.65440516091011314</v>
      </c>
      <c r="R32" s="287">
        <f>IF(Trendy!S14=0,"---",Výkazy!X132/Trendy!S14)</f>
        <v>0.53401628738518325</v>
      </c>
      <c r="S32" s="287">
        <f>IF(Trendy!T14=0,"---",Výkazy!Y132/Trendy!T14)</f>
        <v>1.4832843450248809</v>
      </c>
      <c r="T32" s="287">
        <f>IF(Trendy!U14=0,"---",Výkazy!Z132/Trendy!U14)</f>
        <v>1.667595961206717</v>
      </c>
    </row>
    <row r="33" spans="2:20" x14ac:dyDescent="0.2">
      <c r="B33" s="276" t="s">
        <v>247</v>
      </c>
      <c r="C33" s="287">
        <f>IF(Trendy!D14=0,"---",(Výkazy!I105-Výkazy!I106-Výkazy!I113)/Trendy!D14)</f>
        <v>0.89121929318196391</v>
      </c>
      <c r="D33" s="287">
        <f>IF(Trendy!E14=0,"---",(Výkazy!J105-Výkazy!J106-Výkazy!J113)/Trendy!E14)</f>
        <v>1.027766054332615</v>
      </c>
      <c r="E33" s="287">
        <f>IF(Trendy!F14=0,"---",(Výkazy!K105-Výkazy!K106-Výkazy!K113)/Trendy!F14)</f>
        <v>1.099554359232517</v>
      </c>
      <c r="F33" s="287">
        <f>IF(Trendy!G14=0,"---",(Výkazy!L105-Výkazy!L106-Výkazy!L113)/Trendy!G14)</f>
        <v>0.97625374314199576</v>
      </c>
      <c r="G33" s="287">
        <f>IF(Trendy!H14=0,"---",(Výkazy!M105-Výkazy!M106-Výkazy!M113)/Trendy!H14)</f>
        <v>1.0255419761414848</v>
      </c>
      <c r="H33" s="287">
        <f>IF(Trendy!I14=0,"---",(Výkazy!N105-Výkazy!N106-Výkazy!N113)/Trendy!I14)</f>
        <v>1.0535335459748492</v>
      </c>
      <c r="I33" s="287">
        <f>IF(Trendy!J14=0,"---",(Výkazy!O105-Výkazy!O106-Výkazy!O113)/Trendy!J14)</f>
        <v>0.92287809777229179</v>
      </c>
      <c r="J33" s="287">
        <f>IF(Trendy!K14=0,"---",(Výkazy!P105-Výkazy!P106-Výkazy!P113)/Trendy!K14)</f>
        <v>0.82166241772392667</v>
      </c>
      <c r="K33" s="287">
        <f>IF(Trendy!L14=0,"---",(Výkazy!Q105-Výkazy!Q106-Výkazy!Q113)/Trendy!L14)</f>
        <v>1.0151574716477003</v>
      </c>
      <c r="L33" s="287">
        <f>IF(Trendy!M14=0,"---",(Výkazy!R105-Výkazy!R106-Výkazy!R113)/Trendy!M14)</f>
        <v>1.0509990479880147</v>
      </c>
      <c r="M33" s="287">
        <f>IF(Trendy!N14=0,"---",(Výkazy!S105-Výkazy!S106-Výkazy!S113)/Trendy!N14)</f>
        <v>1.100775590193632</v>
      </c>
      <c r="N33" s="287">
        <f>IF(Trendy!O14=0,"---",(Výkazy!T105-Výkazy!T106-Výkazy!T113)/Trendy!O14)</f>
        <v>1.8408274978551327</v>
      </c>
      <c r="O33" s="287">
        <f>IF(Trendy!P14=0,"---",(Výkazy!U105-Výkazy!U106-Výkazy!U113)/Trendy!P14)</f>
        <v>2.5519524488772296</v>
      </c>
      <c r="P33" s="287">
        <f>IF(Trendy!Q14=0,"---",(Výkazy!V105-Výkazy!V106-Výkazy!V113)/Trendy!Q14)</f>
        <v>3.1255855946751958</v>
      </c>
      <c r="Q33" s="287">
        <f>IF(Trendy!R14=0,"---",(Výkazy!W105-Výkazy!W106-Výkazy!W113)/Trendy!R14)</f>
        <v>1.9567935625032691</v>
      </c>
      <c r="R33" s="287">
        <f>IF(Trendy!S14=0,"---",(Výkazy!X105-Výkazy!X106-Výkazy!X113)/Trendy!S14)</f>
        <v>2.0841074802743536</v>
      </c>
      <c r="S33" s="287">
        <f>IF(Trendy!T14=0,"---",(Výkazy!Y105-Výkazy!Y106-Výkazy!Y113)/Trendy!T14)</f>
        <v>4.3033307160994418</v>
      </c>
      <c r="T33" s="287">
        <f>IF(Trendy!U14=0,"---",(Výkazy!Z105-Výkazy!Z106-Výkazy!Z113)/Trendy!U14)</f>
        <v>5.7521223309753298</v>
      </c>
    </row>
    <row r="34" spans="2:20" x14ac:dyDescent="0.2">
      <c r="B34" s="276" t="s">
        <v>248</v>
      </c>
      <c r="C34" s="287">
        <f>IF(Trendy!D14=0,"---",(Výkazy!I105-Výkazy!I113)/Trendy!D14)</f>
        <v>0.89314348021294332</v>
      </c>
      <c r="D34" s="287">
        <f>IF(Trendy!E14=0,"---",(Výkazy!J105-Výkazy!J113)/Trendy!E14)</f>
        <v>1.030165041426953</v>
      </c>
      <c r="E34" s="287">
        <f>IF(Trendy!F14=0,"---",(Výkazy!K105-Výkazy!K113)/Trendy!F14)</f>
        <v>1.103812348038371</v>
      </c>
      <c r="F34" s="287">
        <f>IF(Trendy!G14=0,"---",(Výkazy!L105-Výkazy!L113)/Trendy!G14)</f>
        <v>0.98142865995773954</v>
      </c>
      <c r="G34" s="287">
        <f>IF(Trendy!H14=0,"---",(Výkazy!M105-Výkazy!M113)/Trendy!H14)</f>
        <v>1.0316447928037948</v>
      </c>
      <c r="H34" s="287">
        <f>IF(Trendy!I14=0,"---",(Výkazy!N105-Výkazy!N113)/Trendy!I14)</f>
        <v>1.0608667526520437</v>
      </c>
      <c r="I34" s="287">
        <f>IF(Trendy!J14=0,"---",(Výkazy!O105-Výkazy!O113)/Trendy!J14)</f>
        <v>0.92990924316153212</v>
      </c>
      <c r="J34" s="287">
        <f>IF(Trendy!K14=0,"---",(Výkazy!P105-Výkazy!P113)/Trendy!K14)</f>
        <v>0.82991292417468265</v>
      </c>
      <c r="K34" s="287">
        <f>IF(Trendy!L14=0,"---",(Výkazy!Q105-Výkazy!Q113)/Trendy!L14)</f>
        <v>1.029634676759273</v>
      </c>
      <c r="L34" s="287">
        <f>IF(Trendy!M14=0,"---",(Výkazy!R105-Výkazy!R113)/Trendy!M14)</f>
        <v>1.081871106151453</v>
      </c>
      <c r="M34" s="287">
        <f>IF(Trendy!N14=0,"---",(Výkazy!S105-Výkazy!S113)/Trendy!N14)</f>
        <v>1.1243532328154764</v>
      </c>
      <c r="N34" s="287">
        <f>IF(Trendy!O14=0,"---",(Výkazy!T105-Výkazy!T113)/Trendy!O14)</f>
        <v>1.8801223614386453</v>
      </c>
      <c r="O34" s="287">
        <f>IF(Trendy!P14=0,"---",(Výkazy!U105-Výkazy!U113)/Trendy!P14)</f>
        <v>2.6214792638141655</v>
      </c>
      <c r="P34" s="287">
        <f>IF(Trendy!Q14=0,"---",(Výkazy!V105-Výkazy!V113)/Trendy!Q14)</f>
        <v>3.2050511511499047</v>
      </c>
      <c r="Q34" s="287">
        <f>IF(Trendy!R14=0,"---",(Výkazy!W105-Výkazy!W113)/Trendy!R14)</f>
        <v>2.0135560056295563</v>
      </c>
      <c r="R34" s="287">
        <f>IF(Trendy!S14=0,"---",(Výkazy!X105-Výkazy!X113)/Trendy!S14)</f>
        <v>2.1368214014196156</v>
      </c>
      <c r="S34" s="287">
        <f>IF(Trendy!T14=0,"---",(Výkazy!Y105-Výkazy!Y113)/Trendy!T14)</f>
        <v>4.4047337413198306</v>
      </c>
      <c r="T34" s="287">
        <f>IF(Trendy!U14=0,"---",(Výkazy!Z105-Výkazy!Z113)/Trendy!U14)</f>
        <v>5.8186809621922864</v>
      </c>
    </row>
    <row r="35" spans="2:20" x14ac:dyDescent="0.2">
      <c r="B35" s="276" t="s">
        <v>139</v>
      </c>
      <c r="C35" s="269">
        <f>Výkazy!I105-(Výkazy!I179+Výkazy!I193+Výkazy!I194)</f>
        <v>-3332</v>
      </c>
      <c r="D35" s="269">
        <f>Výkazy!J105-(Výkazy!J179+Výkazy!J193+Výkazy!J194)</f>
        <v>1358</v>
      </c>
      <c r="E35" s="269">
        <f>Výkazy!K105-(Výkazy!K179+Výkazy!K193+Výkazy!K194)</f>
        <v>5367.1949099999983</v>
      </c>
      <c r="F35" s="269">
        <f>Výkazy!L105-(Výkazy!L179+Výkazy!L193+Výkazy!L194)</f>
        <v>-1092.1414700000023</v>
      </c>
      <c r="G35" s="269">
        <f>Výkazy!M105-(Výkazy!M179+Výkazy!M193+Výkazy!M194)</f>
        <v>1969.2313400000057</v>
      </c>
      <c r="H35" s="269">
        <f>Výkazy!N105-(Výkazy!N179+Výkazy!N193+Výkazy!N194)</f>
        <v>4031.8028200000117</v>
      </c>
      <c r="I35" s="269">
        <f>Výkazy!O105-(Výkazy!O179+Výkazy!O193+Výkazy!O194)</f>
        <v>-6245.2079099999828</v>
      </c>
      <c r="J35" s="269">
        <f>Výkazy!P105-(Výkazy!P179+Výkazy!P193+Výkazy!P194)</f>
        <v>-15566.092720000001</v>
      </c>
      <c r="K35" s="269">
        <f>Výkazy!Q105-(Výkazy!Q179+Výkazy!Q193+Výkazy!Q194)</f>
        <v>2660.1739399999933</v>
      </c>
      <c r="L35" s="269">
        <f>Výkazy!R105-(Výkazy!R179+Výkazy!R193+Výkazy!R194)</f>
        <v>6317.1354399999982</v>
      </c>
      <c r="M35" s="269">
        <f>Výkazy!S105-(Výkazy!S179+Výkazy!S193+Výkazy!S194)</f>
        <v>11870.844600000011</v>
      </c>
      <c r="N35" s="269">
        <f>Výkazy!T105-(Výkazy!T179+Výkazy!T193+Výkazy!T194)</f>
        <v>56424.289039999981</v>
      </c>
      <c r="O35" s="269">
        <f>Výkazy!U105-(Výkazy!U179+Výkazy!U193+Výkazy!U194)</f>
        <v>60240.034360000012</v>
      </c>
      <c r="P35" s="269">
        <f>Výkazy!V105-(Výkazy!V179+Výkazy!V193+Výkazy!V194)</f>
        <v>63674.923439999999</v>
      </c>
      <c r="Q35" s="269">
        <f>Výkazy!W105-(Výkazy!W179+Výkazy!W193+Výkazy!W194)</f>
        <v>45508.59865</v>
      </c>
      <c r="R35" s="269">
        <f>Výkazy!X105-(Výkazy!X179+Výkazy!X193+Výkazy!X194)</f>
        <v>55748.365399999995</v>
      </c>
      <c r="S35" s="269">
        <f>Výkazy!Y105-(Výkazy!Y179+Výkazy!Y193+Výkazy!Y194)</f>
        <v>77363.112209999992</v>
      </c>
      <c r="T35" s="269">
        <f>Výkazy!Z105-(Výkazy!Z179+Výkazy!Z193+Výkazy!Z194)</f>
        <v>61114.902069999996</v>
      </c>
    </row>
    <row r="36" spans="2:20" x14ac:dyDescent="0.2">
      <c r="B36" s="269" t="s">
        <v>249</v>
      </c>
      <c r="C36" s="288">
        <f>IF(Výkazy!I105=0,0,C35/Výkazy!I105)</f>
        <v>-0.11964093357271095</v>
      </c>
      <c r="D36" s="288">
        <f>IF(Výkazy!J105=0,0,D35/Výkazy!J105)</f>
        <v>2.9281756042866074E-2</v>
      </c>
      <c r="E36" s="288">
        <f>IF(Výkazy!K105=0,0,E35/Výkazy!K105)</f>
        <v>9.4048909873911138E-2</v>
      </c>
      <c r="F36" s="288">
        <f>IF(Výkazy!L105=0,0,F35/Výkazy!L105)</f>
        <v>-1.892276107267965E-2</v>
      </c>
      <c r="G36" s="288">
        <f>IF(Výkazy!M105=0,0,G35/Výkazy!M105)</f>
        <v>3.0674116735267886E-2</v>
      </c>
      <c r="H36" s="288">
        <f>IF(Výkazy!N105=0,0,H35/Výkazy!N105)</f>
        <v>5.7374550102436438E-2</v>
      </c>
      <c r="I36" s="288">
        <f>IF(Výkazy!O105=0,0,I35/Výkazy!O105)</f>
        <v>-7.5373760777096219E-2</v>
      </c>
      <c r="J36" s="288">
        <f>IF(Výkazy!P105=0,0,J35/Výkazy!P105)</f>
        <v>-0.20494568872326285</v>
      </c>
      <c r="K36" s="288">
        <f>IF(Výkazy!Q105=0,0,K35/Výkazy!Q105)</f>
        <v>2.8781739220892187E-2</v>
      </c>
      <c r="L36" s="288">
        <f>IF(Výkazy!R105=0,0,L35/Výkazy!R105)</f>
        <v>7.5675471584312523E-2</v>
      </c>
      <c r="M36" s="288">
        <f>IF(Výkazy!S105=0,0,M35/Výkazy!S105)</f>
        <v>0.11059979122760677</v>
      </c>
      <c r="N36" s="288">
        <f>IF(Výkazy!T105=0,0,N35/Výkazy!T105)</f>
        <v>0.46811972427432175</v>
      </c>
      <c r="O36" s="288">
        <f>IF(Výkazy!U105=0,0,O35/Výkazy!U105)</f>
        <v>0.61853598698887546</v>
      </c>
      <c r="P36" s="288">
        <f>IF(Výkazy!V105=0,0,P35/Výkazy!V105)</f>
        <v>0.68799249907720783</v>
      </c>
      <c r="Q36" s="288">
        <f>IF(Výkazy!W105=0,0,Q35/Výkazy!W105)</f>
        <v>0.50336618539331812</v>
      </c>
      <c r="R36" s="288">
        <f>IF(Výkazy!X105=0,0,R35/Výkazy!X105)</f>
        <v>0.53201517013277699</v>
      </c>
      <c r="S36" s="288">
        <f>IF(Výkazy!Y105=0,0,S35/Výkazy!Y105)</f>
        <v>0.77297152138409142</v>
      </c>
      <c r="T36" s="288">
        <f>IF(Výkazy!Z105=0,0,T35/Výkazy!Z105)</f>
        <v>0.82813974395612289</v>
      </c>
    </row>
    <row r="58" spans="2:20" ht="51.75" customHeight="1" x14ac:dyDescent="0.2"/>
    <row r="59" spans="2:20" x14ac:dyDescent="0.2">
      <c r="B59" s="273" t="s">
        <v>571</v>
      </c>
    </row>
    <row r="60" spans="2:20" x14ac:dyDescent="0.2">
      <c r="B60" s="273" t="s">
        <v>572</v>
      </c>
    </row>
    <row r="61" spans="2:20" x14ac:dyDescent="0.2">
      <c r="B61" s="273" t="s">
        <v>573</v>
      </c>
    </row>
    <row r="63" spans="2:20" x14ac:dyDescent="0.2">
      <c r="B63" s="267" t="s">
        <v>324</v>
      </c>
      <c r="C63" s="268">
        <f>Výkazy!I$3</f>
        <v>2007</v>
      </c>
      <c r="D63" s="268">
        <f>Výkazy!J$3</f>
        <v>2008</v>
      </c>
      <c r="E63" s="268">
        <f>Výkazy!K$3</f>
        <v>2009</v>
      </c>
      <c r="F63" s="268">
        <f>Výkazy!L$3</f>
        <v>2010</v>
      </c>
      <c r="G63" s="268">
        <f>Výkazy!M$3</f>
        <v>2011</v>
      </c>
      <c r="H63" s="268">
        <f>Výkazy!N$3</f>
        <v>2012</v>
      </c>
      <c r="I63" s="268">
        <f>Výkazy!O$3</f>
        <v>2013</v>
      </c>
      <c r="J63" s="268">
        <f>Výkazy!P$3</f>
        <v>2014</v>
      </c>
      <c r="K63" s="268">
        <f>Výkazy!Q$3</f>
        <v>2015</v>
      </c>
      <c r="L63" s="268">
        <f>Výkazy!R$3</f>
        <v>2016</v>
      </c>
      <c r="M63" s="268">
        <f>Výkazy!S$3</f>
        <v>2017</v>
      </c>
      <c r="N63" s="268">
        <f>Výkazy!T$3</f>
        <v>2018</v>
      </c>
      <c r="O63" s="268">
        <f>Výkazy!U$3</f>
        <v>2019</v>
      </c>
      <c r="P63" s="268">
        <f>Výkazy!V$3</f>
        <v>2020</v>
      </c>
      <c r="Q63" s="268">
        <f>Výkazy!W$3</f>
        <v>2021</v>
      </c>
      <c r="R63" s="268">
        <f>Výkazy!X$3</f>
        <v>2022</v>
      </c>
      <c r="S63" s="268">
        <f>Výkazy!Y$3</f>
        <v>2023</v>
      </c>
      <c r="T63" s="268">
        <f>Výkazy!Z$3</f>
        <v>2024</v>
      </c>
    </row>
    <row r="64" spans="2:20" x14ac:dyDescent="0.2">
      <c r="B64" s="269" t="s">
        <v>66</v>
      </c>
      <c r="C64" s="270">
        <f>Výkazy!I107</f>
        <v>60</v>
      </c>
      <c r="D64" s="270">
        <f>Výkazy!J107</f>
        <v>108</v>
      </c>
      <c r="E64" s="270">
        <f>Výkazy!K107</f>
        <v>216.10501000000002</v>
      </c>
      <c r="F64" s="270">
        <f>Výkazy!L107</f>
        <v>249.74182999999999</v>
      </c>
      <c r="G64" s="270">
        <f>Výkazy!M107</f>
        <v>379.77363000000003</v>
      </c>
      <c r="H64" s="270">
        <f>Výkazy!N107</f>
        <v>485.75029999999998</v>
      </c>
      <c r="I64" s="270">
        <f>Výkazy!O107</f>
        <v>626.48724000000004</v>
      </c>
      <c r="J64" s="270">
        <f>Výkazy!P107</f>
        <v>681.56682999999998</v>
      </c>
      <c r="K64" s="270">
        <f>Výkazy!Q107</f>
        <v>1299.5547099999999</v>
      </c>
      <c r="L64" s="270">
        <f>Výkazy!R107</f>
        <v>2382.0732599999997</v>
      </c>
      <c r="M64" s="270">
        <f>Výkazy!S107</f>
        <v>2224.3918799999997</v>
      </c>
      <c r="N64" s="270">
        <f>Výkazy!T107</f>
        <v>2253.31783</v>
      </c>
      <c r="O64" s="270">
        <f>Výkazy!U107</f>
        <v>2358.7883500000003</v>
      </c>
      <c r="P64" s="270">
        <f>Výkazy!V107</f>
        <v>1983.5796699999999</v>
      </c>
      <c r="Q64" s="270">
        <f>Výkazy!W107</f>
        <v>2242.377</v>
      </c>
      <c r="R64" s="270">
        <f>Výkazy!X107</f>
        <v>2206.3568100000002</v>
      </c>
      <c r="S64" s="270">
        <f>Výkazy!Y107</f>
        <v>1946.25962</v>
      </c>
      <c r="T64" s="270">
        <f>Výkazy!Z107</f>
        <v>566.94187999999997</v>
      </c>
    </row>
    <row r="65" spans="2:20" x14ac:dyDescent="0.2">
      <c r="B65" s="269" t="s">
        <v>67</v>
      </c>
      <c r="C65" s="270">
        <f>Výkazy!I108</f>
        <v>0</v>
      </c>
      <c r="D65" s="270">
        <f>Výkazy!J108</f>
        <v>0</v>
      </c>
      <c r="E65" s="270">
        <f>Výkazy!K108</f>
        <v>0</v>
      </c>
      <c r="F65" s="270">
        <f>Výkazy!L108</f>
        <v>0</v>
      </c>
      <c r="G65" s="270">
        <f>Výkazy!M108</f>
        <v>0</v>
      </c>
      <c r="H65" s="270">
        <f>Výkazy!N108</f>
        <v>0</v>
      </c>
      <c r="I65" s="270">
        <f>Výkazy!O108</f>
        <v>0</v>
      </c>
      <c r="J65" s="270">
        <f>Výkazy!P108</f>
        <v>73.506110000000007</v>
      </c>
      <c r="K65" s="270">
        <f>Výkazy!Q108</f>
        <v>0</v>
      </c>
      <c r="L65" s="270">
        <f>Výkazy!R108</f>
        <v>0</v>
      </c>
      <c r="M65" s="270">
        <f>Výkazy!S108</f>
        <v>26.346</v>
      </c>
      <c r="N65" s="270">
        <f>Výkazy!T108</f>
        <v>265.86</v>
      </c>
      <c r="O65" s="270">
        <f>Výkazy!U108</f>
        <v>224.22200000000001</v>
      </c>
      <c r="P65" s="270">
        <f>Výkazy!V108</f>
        <v>311.13499999999999</v>
      </c>
      <c r="Q65" s="270">
        <f>Výkazy!W108</f>
        <v>306.25299999999999</v>
      </c>
      <c r="R65" s="270">
        <f>Výkazy!X108</f>
        <v>378.67099999999999</v>
      </c>
      <c r="S65" s="270">
        <f>Výkazy!Y108</f>
        <v>357.84232000000003</v>
      </c>
      <c r="T65" s="270">
        <f>Výkazy!Z108</f>
        <v>277.21532000000002</v>
      </c>
    </row>
    <row r="66" spans="2:20" x14ac:dyDescent="0.2">
      <c r="B66" s="269" t="s">
        <v>68</v>
      </c>
      <c r="C66" s="270">
        <f>Výkazy!I109</f>
        <v>0</v>
      </c>
      <c r="D66" s="270">
        <f>Výkazy!J109</f>
        <v>0</v>
      </c>
      <c r="E66" s="270">
        <f>Výkazy!K109</f>
        <v>0</v>
      </c>
      <c r="F66" s="270">
        <f>Výkazy!L109</f>
        <v>0</v>
      </c>
      <c r="G66" s="270">
        <f>Výkazy!M109</f>
        <v>0</v>
      </c>
      <c r="H66" s="270">
        <f>Výkazy!N109</f>
        <v>0</v>
      </c>
      <c r="I66" s="270">
        <f>Výkazy!O109</f>
        <v>0</v>
      </c>
      <c r="J66" s="270">
        <f>Výkazy!P109</f>
        <v>0</v>
      </c>
      <c r="K66" s="270">
        <f>Výkazy!Q109</f>
        <v>0</v>
      </c>
      <c r="L66" s="270">
        <f>Výkazy!R109</f>
        <v>0</v>
      </c>
      <c r="M66" s="270">
        <f>Výkazy!S109</f>
        <v>0</v>
      </c>
      <c r="N66" s="270">
        <f>Výkazy!T109</f>
        <v>0</v>
      </c>
      <c r="O66" s="270">
        <f>Výkazy!U109</f>
        <v>0</v>
      </c>
      <c r="P66" s="270">
        <f>Výkazy!V109</f>
        <v>0</v>
      </c>
      <c r="Q66" s="270">
        <f>Výkazy!W109</f>
        <v>0</v>
      </c>
      <c r="R66" s="270">
        <f>Výkazy!X109</f>
        <v>0</v>
      </c>
      <c r="S66" s="270">
        <f>Výkazy!Y109</f>
        <v>0</v>
      </c>
      <c r="T66" s="270">
        <f>Výkazy!Z109</f>
        <v>0</v>
      </c>
    </row>
    <row r="67" spans="2:20" x14ac:dyDescent="0.2">
      <c r="B67" s="269" t="s">
        <v>69</v>
      </c>
      <c r="C67" s="270">
        <f>Výkazy!I111</f>
        <v>0</v>
      </c>
      <c r="D67" s="270">
        <f>Výkazy!J111</f>
        <v>0</v>
      </c>
      <c r="E67" s="270">
        <f>Výkazy!K111</f>
        <v>4.0369700000000002</v>
      </c>
      <c r="F67" s="270">
        <f>Výkazy!L111</f>
        <v>54.584150000000001</v>
      </c>
      <c r="G67" s="270">
        <f>Výkazy!M111</f>
        <v>0</v>
      </c>
      <c r="H67" s="270">
        <f>Výkazy!N111</f>
        <v>0</v>
      </c>
      <c r="I67" s="270">
        <f>Výkazy!O111</f>
        <v>0</v>
      </c>
      <c r="J67" s="270">
        <f>Výkazy!P111</f>
        <v>0</v>
      </c>
      <c r="K67" s="270">
        <f>Výkazy!Q111</f>
        <v>0</v>
      </c>
      <c r="L67" s="270">
        <f>Výkazy!R111</f>
        <v>0</v>
      </c>
      <c r="M67" s="270">
        <f>Výkazy!S111</f>
        <v>0</v>
      </c>
      <c r="N67" s="270">
        <f>Výkazy!T111</f>
        <v>0</v>
      </c>
      <c r="O67" s="270">
        <f>Výkazy!U111</f>
        <v>0</v>
      </c>
      <c r="P67" s="270">
        <f>Výkazy!V111</f>
        <v>0</v>
      </c>
      <c r="Q67" s="270">
        <f>Výkazy!W111</f>
        <v>0</v>
      </c>
      <c r="R67" s="270">
        <f>Výkazy!X111</f>
        <v>0</v>
      </c>
      <c r="S67" s="270">
        <f>Výkazy!Y111</f>
        <v>0</v>
      </c>
      <c r="T67" s="270">
        <f>Výkazy!Z111</f>
        <v>0</v>
      </c>
    </row>
    <row r="68" spans="2:20" x14ac:dyDescent="0.2">
      <c r="B68" s="269" t="s">
        <v>326</v>
      </c>
      <c r="C68" s="270">
        <f>Výkazy!I129</f>
        <v>412</v>
      </c>
      <c r="D68" s="270">
        <f>Výkazy!J129</f>
        <v>10</v>
      </c>
      <c r="E68" s="270">
        <f>Výkazy!K129</f>
        <v>27.069220000000001</v>
      </c>
      <c r="F68" s="270">
        <f>Výkazy!L129</f>
        <v>12.16273</v>
      </c>
      <c r="G68" s="270">
        <f>Výkazy!M129</f>
        <v>25.546669999999999</v>
      </c>
      <c r="H68" s="270">
        <f>Výkazy!N129</f>
        <v>28.98659</v>
      </c>
      <c r="I68" s="270">
        <f>Výkazy!O129</f>
        <v>40.976239999999997</v>
      </c>
      <c r="J68" s="270">
        <f>Výkazy!P129</f>
        <v>29.792200000000001</v>
      </c>
      <c r="K68" s="270">
        <f>Výkazy!Q129</f>
        <v>26.578479999999999</v>
      </c>
      <c r="L68" s="270">
        <f>Výkazy!R129</f>
        <v>151.90474</v>
      </c>
      <c r="M68" s="270">
        <f>Výkazy!S129</f>
        <v>51.626519999999999</v>
      </c>
      <c r="N68" s="270">
        <f>Výkazy!T129</f>
        <v>106.57359</v>
      </c>
      <c r="O68" s="270">
        <f>Výkazy!U129</f>
        <v>62.821719999999999</v>
      </c>
      <c r="P68" s="270">
        <f>Výkazy!V129</f>
        <v>139.88104999999999</v>
      </c>
      <c r="Q68" s="270">
        <f>Výkazy!W129</f>
        <v>144.42428000000001</v>
      </c>
      <c r="R68" s="270">
        <f>Výkazy!X129</f>
        <v>141.36430999999999</v>
      </c>
      <c r="S68" s="270">
        <f>Výkazy!Y129</f>
        <v>192.31034</v>
      </c>
      <c r="T68" s="270">
        <f>Výkazy!Z129</f>
        <v>425.56421</v>
      </c>
    </row>
    <row r="69" spans="2:20" x14ac:dyDescent="0.2">
      <c r="B69" s="269" t="s">
        <v>79</v>
      </c>
      <c r="C69" s="270">
        <f>Výkazy!I134</f>
        <v>1850</v>
      </c>
      <c r="D69" s="270">
        <f>Výkazy!J134</f>
        <v>4428</v>
      </c>
      <c r="E69" s="270">
        <f>Výkazy!K134</f>
        <v>3512.3432200000002</v>
      </c>
      <c r="F69" s="270">
        <f>Výkazy!L134</f>
        <v>3961.8025699999998</v>
      </c>
      <c r="G69" s="270">
        <f>Výkazy!M134</f>
        <v>4972.22379</v>
      </c>
      <c r="H69" s="270">
        <f>Výkazy!N134</f>
        <v>16652.946530000001</v>
      </c>
      <c r="I69" s="270">
        <f>Výkazy!O134</f>
        <v>9448.0456599999998</v>
      </c>
      <c r="J69" s="270">
        <f>Výkazy!P134</f>
        <v>11583.99741</v>
      </c>
      <c r="K69" s="270">
        <f>Výkazy!Q134</f>
        <v>6200.3860199999999</v>
      </c>
      <c r="L69" s="270">
        <f>Výkazy!R134</f>
        <v>3094.2414900000003</v>
      </c>
      <c r="M69" s="270">
        <f>Výkazy!S134</f>
        <v>3176.7835299999997</v>
      </c>
      <c r="N69" s="270">
        <f>Výkazy!T134</f>
        <v>6632.0704699999997</v>
      </c>
      <c r="O69" s="270">
        <f>Výkazy!U134</f>
        <v>16493.365330000001</v>
      </c>
      <c r="P69" s="270">
        <f>Výkazy!V134</f>
        <v>14775.74424</v>
      </c>
      <c r="Q69" s="270">
        <f>Výkazy!W134</f>
        <v>13110.714970000001</v>
      </c>
      <c r="R69" s="270">
        <f>Výkazy!X134</f>
        <v>3542.1400600000002</v>
      </c>
      <c r="S69" s="270">
        <f>Výkazy!Y134</f>
        <v>17964.66676</v>
      </c>
      <c r="T69" s="270">
        <f>Výkazy!Z134</f>
        <v>14618.043210000002</v>
      </c>
    </row>
    <row r="70" spans="2:20" x14ac:dyDescent="0.2">
      <c r="B70" s="289" t="s">
        <v>327</v>
      </c>
      <c r="C70" s="290">
        <f>Výkazy!I180*-1</f>
        <v>-26465</v>
      </c>
      <c r="D70" s="290">
        <f>Výkazy!J180*-1</f>
        <v>-30282</v>
      </c>
      <c r="E70" s="290">
        <f>Výkazy!K180*-1</f>
        <v>-33358.836360000001</v>
      </c>
      <c r="F70" s="290">
        <f>Výkazy!L180*-1</f>
        <v>-35632.436700000006</v>
      </c>
      <c r="G70" s="290">
        <f>Výkazy!M180*-1</f>
        <v>-39014.389649999997</v>
      </c>
      <c r="H70" s="290">
        <f>Výkazy!N180*-1</f>
        <v>-46275.173920000001</v>
      </c>
      <c r="I70" s="290">
        <f>Výkazy!O180*-1</f>
        <v>-52412.616459999997</v>
      </c>
      <c r="J70" s="290">
        <f>Výkazy!P180*-1</f>
        <v>-35705.661060000006</v>
      </c>
      <c r="K70" s="290">
        <f>Výkazy!Q180*-1</f>
        <v>-44190.813399999999</v>
      </c>
      <c r="L70" s="290">
        <f>Výkazy!R180*-1</f>
        <v>-50249.558270000001</v>
      </c>
      <c r="M70" s="290">
        <f>Výkazy!S180*-1</f>
        <v>-42617.205170000001</v>
      </c>
      <c r="N70" s="290">
        <f>Výkazy!T180*-1</f>
        <v>-41568.106340000006</v>
      </c>
      <c r="O70" s="290">
        <f>Výkazy!U180*-1</f>
        <v>-22217.886920000001</v>
      </c>
      <c r="P70" s="290">
        <f>Výkazy!V180*-1</f>
        <v>-20394.707989999999</v>
      </c>
      <c r="Q70" s="290">
        <f>Výkazy!W180*-1</f>
        <v>-24623.069629999998</v>
      </c>
      <c r="R70" s="290">
        <f>Výkazy!X180*-1</f>
        <v>-19161.204659999999</v>
      </c>
      <c r="S70" s="290">
        <f>Výkazy!Y180*-1</f>
        <v>-13697.44953</v>
      </c>
      <c r="T70" s="290">
        <f>Výkazy!Z180*-1</f>
        <v>-15871.70923</v>
      </c>
    </row>
    <row r="71" spans="2:20" x14ac:dyDescent="0.2">
      <c r="B71" s="269" t="s">
        <v>97</v>
      </c>
      <c r="C71" s="270">
        <f>Výkazy!I184*-1</f>
        <v>-1169</v>
      </c>
      <c r="D71" s="270">
        <f>Výkazy!J184*-1</f>
        <v>-2296</v>
      </c>
      <c r="E71" s="270">
        <f>Výkazy!K184*-1</f>
        <v>-4497.3140000000003</v>
      </c>
      <c r="F71" s="270">
        <f>Výkazy!L184*-1</f>
        <v>-5496.9384</v>
      </c>
      <c r="G71" s="270">
        <f>Výkazy!M184*-1</f>
        <v>-4275.1310000000003</v>
      </c>
      <c r="H71" s="270">
        <f>Výkazy!N184*-1</f>
        <v>-7042.9160000000002</v>
      </c>
      <c r="I71" s="270">
        <f>Výkazy!O184*-1</f>
        <v>-5535.8729999999996</v>
      </c>
      <c r="J71" s="270">
        <f>Výkazy!P184*-1</f>
        <v>-6047.45</v>
      </c>
      <c r="K71" s="270">
        <f>Výkazy!Q184*-1</f>
        <v>-6827.634</v>
      </c>
      <c r="L71" s="270">
        <f>Výkazy!R184*-1</f>
        <v>-8095.9551100000008</v>
      </c>
      <c r="M71" s="270">
        <f>Výkazy!S184*-1</f>
        <v>-7529.6861900000004</v>
      </c>
      <c r="N71" s="270">
        <f>Výkazy!T184*-1</f>
        <v>-9246.75</v>
      </c>
      <c r="O71" s="270">
        <f>Výkazy!U184*-1</f>
        <v>-10584.589599999999</v>
      </c>
      <c r="P71" s="270">
        <f>Výkazy!V184*-1</f>
        <v>-6459.9522999999999</v>
      </c>
      <c r="Q71" s="270">
        <f>Výkazy!W184*-1</f>
        <v>-8652.2776699999995</v>
      </c>
      <c r="R71" s="270">
        <f>Výkazy!X184*-1</f>
        <v>-7329.9772499999999</v>
      </c>
      <c r="S71" s="270">
        <f>Výkazy!Y184*-1</f>
        <v>-4705.5093499999994</v>
      </c>
      <c r="T71" s="270">
        <f>Výkazy!Z184*-1</f>
        <v>3565.5066499999998</v>
      </c>
    </row>
    <row r="72" spans="2:20" x14ac:dyDescent="0.2">
      <c r="B72" s="269" t="s">
        <v>98</v>
      </c>
      <c r="C72" s="270">
        <f>Výkazy!I185*-1</f>
        <v>-183</v>
      </c>
      <c r="D72" s="270">
        <f>Výkazy!J185*-1</f>
        <v>-355</v>
      </c>
      <c r="E72" s="270">
        <f>Výkazy!K185*-1</f>
        <v>-455.65100000000001</v>
      </c>
      <c r="F72" s="270">
        <f>Výkazy!L185*-1</f>
        <v>-612.22299999999996</v>
      </c>
      <c r="G72" s="270">
        <f>Výkazy!M185*-1</f>
        <v>-696.90700000000004</v>
      </c>
      <c r="H72" s="270">
        <f>Výkazy!N185*-1</f>
        <v>-785.70399999999995</v>
      </c>
      <c r="I72" s="270">
        <f>Výkazy!O185*-1</f>
        <v>-880.71500000000003</v>
      </c>
      <c r="J72" s="270">
        <f>Výkazy!P185*-1</f>
        <v>-990.22299999999996</v>
      </c>
      <c r="K72" s="270">
        <f>Výkazy!Q185*-1</f>
        <v>-1049.2249999999999</v>
      </c>
      <c r="L72" s="270">
        <f>Výkazy!R185*-1</f>
        <v>-1041.4165800000001</v>
      </c>
      <c r="M72" s="270">
        <f>Výkazy!S185*-1</f>
        <v>-963.68790000000001</v>
      </c>
      <c r="N72" s="270">
        <f>Výkazy!T185*-1</f>
        <v>-1156.7473799999998</v>
      </c>
      <c r="O72" s="270">
        <f>Výkazy!U185*-1</f>
        <v>-1201.32051</v>
      </c>
      <c r="P72" s="270">
        <f>Výkazy!V185*-1</f>
        <v>-1264.3653100000001</v>
      </c>
      <c r="Q72" s="270">
        <f>Výkazy!W185*-1</f>
        <v>-2120.2015099999999</v>
      </c>
      <c r="R72" s="270">
        <f>Výkazy!X185*-1</f>
        <v>-1580.45543</v>
      </c>
      <c r="S72" s="270">
        <f>Výkazy!Y185*-1</f>
        <v>-1537.8912800000001</v>
      </c>
      <c r="T72" s="270">
        <f>Výkazy!Z185*-1</f>
        <v>-6.2232799999999999</v>
      </c>
    </row>
    <row r="73" spans="2:20" x14ac:dyDescent="0.2">
      <c r="B73" s="269" t="s">
        <v>99</v>
      </c>
      <c r="C73" s="270">
        <f>Výkazy!I186*-1</f>
        <v>-55</v>
      </c>
      <c r="D73" s="270">
        <f>Výkazy!J186*-1</f>
        <v>-3237</v>
      </c>
      <c r="E73" s="270">
        <f>Výkazy!K186*-1</f>
        <v>-1654.989</v>
      </c>
      <c r="F73" s="270">
        <f>Výkazy!L186*-1</f>
        <v>0</v>
      </c>
      <c r="G73" s="270">
        <f>Výkazy!M186*-1</f>
        <v>-254.54154</v>
      </c>
      <c r="H73" s="270">
        <f>Výkazy!N186*-1</f>
        <v>0</v>
      </c>
      <c r="I73" s="270">
        <f>Výkazy!O186*-1</f>
        <v>-1307.82547</v>
      </c>
      <c r="J73" s="270">
        <f>Výkazy!P186*-1</f>
        <v>-7170.2957200000001</v>
      </c>
      <c r="K73" s="270">
        <f>Výkazy!Q186*-1</f>
        <v>-7482.4297800000004</v>
      </c>
      <c r="L73" s="270">
        <f>Výkazy!R186*-1</f>
        <v>-3604.2828</v>
      </c>
      <c r="M73" s="270">
        <f>Výkazy!S186*-1</f>
        <v>-3674.3837999999996</v>
      </c>
      <c r="N73" s="270">
        <f>Výkazy!T186*-1</f>
        <v>-5953.4831699999995</v>
      </c>
      <c r="O73" s="270">
        <f>Výkazy!U186*-1</f>
        <v>-2951.3467799999999</v>
      </c>
      <c r="P73" s="270">
        <f>Výkazy!V186*-1</f>
        <v>-577.91481999999996</v>
      </c>
      <c r="Q73" s="270">
        <f>Výkazy!W186*-1</f>
        <v>-677.60307</v>
      </c>
      <c r="R73" s="270">
        <f>Výkazy!X186*-1</f>
        <v>-292.30170000000004</v>
      </c>
      <c r="S73" s="270">
        <f>Výkazy!Y186*-1</f>
        <v>-2718.1107499999998</v>
      </c>
      <c r="T73" s="270">
        <f>Výkazy!Z186*-1</f>
        <v>-438.45956000000001</v>
      </c>
    </row>
    <row r="74" spans="2:20" x14ac:dyDescent="0.2">
      <c r="B74" s="291" t="s">
        <v>103</v>
      </c>
      <c r="C74" s="292">
        <f>Výkazy!I193*-1</f>
        <v>0</v>
      </c>
      <c r="D74" s="292">
        <f>Výkazy!J193*-1</f>
        <v>-3000</v>
      </c>
      <c r="E74" s="292">
        <f>Výkazy!K193*-1</f>
        <v>-4000</v>
      </c>
      <c r="F74" s="292">
        <f>Výkazy!L193*-1</f>
        <v>-5000.7500499999996</v>
      </c>
      <c r="G74" s="292">
        <f>Výkazy!M193*-1</f>
        <v>-4000</v>
      </c>
      <c r="H74" s="292">
        <f>Výkazy!N193*-1</f>
        <v>-10000</v>
      </c>
      <c r="I74" s="292">
        <f>Výkazy!O193*-1</f>
        <v>-28786.62715</v>
      </c>
      <c r="J74" s="292">
        <f>Výkazy!P193*-1</f>
        <v>-37428.929939999995</v>
      </c>
      <c r="K74" s="292">
        <f>Výkazy!Q193*-1</f>
        <v>-28376.25</v>
      </c>
      <c r="L74" s="292">
        <f>Výkazy!R193*-1</f>
        <v>-13768.38307</v>
      </c>
      <c r="M74" s="292">
        <f>Výkazy!S193*-1</f>
        <v>-26449.34174</v>
      </c>
      <c r="N74" s="292">
        <f>Výkazy!T193*-1</f>
        <v>-6062.2428799999998</v>
      </c>
      <c r="O74" s="292">
        <f>Výkazy!U193*-1</f>
        <v>0</v>
      </c>
      <c r="P74" s="292">
        <f>Výkazy!V193*-1</f>
        <v>0</v>
      </c>
      <c r="Q74" s="292">
        <f>Výkazy!W193*-1</f>
        <v>-8701</v>
      </c>
      <c r="R74" s="292">
        <f>Výkazy!X193*-1</f>
        <v>-20616.784050000002</v>
      </c>
      <c r="S74" s="292">
        <f>Výkazy!Y193*-1</f>
        <v>0</v>
      </c>
      <c r="T74" s="292">
        <f>Výkazy!Z193*-1</f>
        <v>0</v>
      </c>
    </row>
  </sheetData>
  <phoneticPr fontId="0" type="noConversion"/>
  <printOptions gridLinesSet="0"/>
  <pageMargins left="0.59055118110236227" right="0" top="0.39370078740157483" bottom="0.39370078740157483" header="0.51181102362204722" footer="0.31496062992125984"/>
  <pageSetup paperSize="9" orientation="portrait" horizontalDpi="300" verticalDpi="300" r:id="rId1"/>
  <headerFooter alignWithMargins="0">
    <oddFooter>&amp;C&amp;F / &amp;D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54" transitionEvaluation="1" transitionEntry="1" codeName="List10"/>
  <dimension ref="B2:T61"/>
  <sheetViews>
    <sheetView showGridLines="0" topLeftCell="A54" zoomScale="140" zoomScaleNormal="140" workbookViewId="0">
      <selection activeCell="T91" sqref="T91"/>
    </sheetView>
  </sheetViews>
  <sheetFormatPr defaultColWidth="9.83203125" defaultRowHeight="11.25" outlineLevelCol="1" x14ac:dyDescent="0.2"/>
  <cols>
    <col min="1" max="1" width="3.33203125" customWidth="1"/>
    <col min="2" max="2" width="36.1640625" style="273" customWidth="1"/>
    <col min="3" max="8" width="8.1640625" style="273" hidden="1" customWidth="1" outlineLevel="1"/>
    <col min="9" max="9" width="5.33203125" style="273" bestFit="1" customWidth="1" collapsed="1"/>
    <col min="10" max="20" width="5.33203125" style="273" bestFit="1" customWidth="1"/>
    <col min="21" max="29" width="9.83203125" customWidth="1"/>
    <col min="37" max="37" width="3.83203125" customWidth="1"/>
    <col min="49" max="49" width="3.83203125" customWidth="1"/>
    <col min="116" max="116" width="4.83203125" customWidth="1"/>
  </cols>
  <sheetData>
    <row r="2" spans="2:20" x14ac:dyDescent="0.2">
      <c r="B2" s="267" t="s">
        <v>253</v>
      </c>
      <c r="C2" s="268">
        <f>Výkazy!I$3</f>
        <v>2007</v>
      </c>
      <c r="D2" s="268">
        <f>Výkazy!J$3</f>
        <v>2008</v>
      </c>
      <c r="E2" s="268">
        <f>Výkazy!K$3</f>
        <v>2009</v>
      </c>
      <c r="F2" s="268">
        <f>Výkazy!L$3</f>
        <v>2010</v>
      </c>
      <c r="G2" s="268">
        <f>Výkazy!M$3</f>
        <v>2011</v>
      </c>
      <c r="H2" s="268">
        <f>Výkazy!N$3</f>
        <v>2012</v>
      </c>
      <c r="I2" s="268">
        <f>Výkazy!O$3</f>
        <v>2013</v>
      </c>
      <c r="J2" s="268">
        <f>Výkazy!P$3</f>
        <v>2014</v>
      </c>
      <c r="K2" s="268">
        <f>Výkazy!Q$3</f>
        <v>2015</v>
      </c>
      <c r="L2" s="268">
        <f>Výkazy!R$3</f>
        <v>2016</v>
      </c>
      <c r="M2" s="268">
        <f>Výkazy!S$3</f>
        <v>2017</v>
      </c>
      <c r="N2" s="268">
        <f>Výkazy!T$3</f>
        <v>2018</v>
      </c>
      <c r="O2" s="268">
        <f>Výkazy!U$3</f>
        <v>2019</v>
      </c>
      <c r="P2" s="268">
        <f>Výkazy!V$3</f>
        <v>2020</v>
      </c>
      <c r="Q2" s="268">
        <f>Výkazy!W$3</f>
        <v>2021</v>
      </c>
      <c r="R2" s="268">
        <f>Výkazy!X$3</f>
        <v>2022</v>
      </c>
      <c r="S2" s="268">
        <f>Výkazy!Y$3</f>
        <v>2023</v>
      </c>
      <c r="T2" s="268">
        <f>Výkazy!Z$3</f>
        <v>2024</v>
      </c>
    </row>
    <row r="3" spans="2:20" x14ac:dyDescent="0.2">
      <c r="B3" s="293" t="s">
        <v>339</v>
      </c>
      <c r="C3" s="294">
        <f>IF(Výkazy!I75=0,0,Výkazy!I162/Výkazy!I75)</f>
        <v>0.90826690405859267</v>
      </c>
      <c r="D3" s="294">
        <f>IF(Výkazy!J75=0,0,Výkazy!J162/Výkazy!J75)</f>
        <v>0.80335301703658457</v>
      </c>
      <c r="E3" s="294">
        <f>IF(Výkazy!K75=0,0,Výkazy!K162/Výkazy!K75)</f>
        <v>0.71153903139480579</v>
      </c>
      <c r="F3" s="294">
        <f>IF(Výkazy!L75=0,0,Výkazy!L162/Výkazy!L75)</f>
        <v>0.71881713791806567</v>
      </c>
      <c r="G3" s="294">
        <f>IF(Výkazy!M75=0,0,Výkazy!M162/Výkazy!M75)</f>
        <v>0.64612645505123534</v>
      </c>
      <c r="H3" s="294">
        <f>IF(Výkazy!N75=0,0,Výkazy!N162/Výkazy!N75)</f>
        <v>0.71534714968056623</v>
      </c>
      <c r="I3" s="294">
        <f>IF(Výkazy!O75=0,0,Výkazy!O162/Výkazy!O75)</f>
        <v>0.54261061296849633</v>
      </c>
      <c r="J3" s="294">
        <f>IF(Výkazy!P75=0,0,Výkazy!P162/Výkazy!P75)</f>
        <v>0.47460268725952159</v>
      </c>
      <c r="K3" s="294">
        <f>IF(Výkazy!Q75=0,0,Výkazy!Q162/Výkazy!Q75)</f>
        <v>0.48392059762995948</v>
      </c>
      <c r="L3" s="294">
        <f>IF(Výkazy!R75=0,0,Výkazy!R162/Výkazy!R75)</f>
        <v>0.51582450145543091</v>
      </c>
      <c r="M3" s="294">
        <f>IF(Výkazy!S75=0,0,Výkazy!S162/Výkazy!S75)</f>
        <v>0.50216755576465655</v>
      </c>
      <c r="N3" s="294">
        <f>IF(Výkazy!T75=0,0,Výkazy!T162/Výkazy!T75)</f>
        <v>0.3992157426485502</v>
      </c>
      <c r="O3" s="294">
        <f>IF(Výkazy!U75=0,0,Výkazy!U162/Výkazy!U75)</f>
        <v>0.27661819688416361</v>
      </c>
      <c r="P3" s="294">
        <f>IF(Výkazy!V75=0,0,Výkazy!V162/Výkazy!V75)</f>
        <v>0.19010137255977977</v>
      </c>
      <c r="Q3" s="294">
        <f>IF(Výkazy!W75=0,0,Výkazy!W162/Výkazy!W75)</f>
        <v>0.52228843261196944</v>
      </c>
      <c r="R3" s="294">
        <f>IF(Výkazy!X75=0,0,Výkazy!X162/Výkazy!X75)</f>
        <v>0.50816591942460132</v>
      </c>
      <c r="S3" s="294">
        <f>IF(Výkazy!Y75=0,0,Výkazy!Y162/Výkazy!Y75)</f>
        <v>0.41930423090051455</v>
      </c>
      <c r="T3" s="294">
        <f>IF(Výkazy!Z75=0,0,Výkazy!Z162/Výkazy!Z75)</f>
        <v>0.33678133760739121</v>
      </c>
    </row>
    <row r="4" spans="2:20" x14ac:dyDescent="0.2">
      <c r="B4" s="269" t="s">
        <v>568</v>
      </c>
      <c r="C4" s="288">
        <f>IF(Výkazy!I145=0,0,Výkazy!I162/Výkazy!I145)</f>
        <v>9.9011910013233351</v>
      </c>
      <c r="D4" s="288">
        <f>IF(Výkazy!J145=0,0,Výkazy!J162/Výkazy!J145)</f>
        <v>4.0852547287035756</v>
      </c>
      <c r="E4" s="288">
        <f>IF(Výkazy!K145=0,0,Výkazy!K162/Výkazy!K145)</f>
        <v>2.5105756315232721</v>
      </c>
      <c r="F4" s="288">
        <f>IF(Výkazy!L145=0,0,Výkazy!L162/Výkazy!L145)</f>
        <v>2.5672891215065943</v>
      </c>
      <c r="G4" s="288">
        <f>IF(Výkazy!M145=0,0,Výkazy!M162/Výkazy!M145)</f>
        <v>1.8292164873161785</v>
      </c>
      <c r="H4" s="288">
        <f>IF(Výkazy!N145=0,0,Výkazy!N162/Výkazy!N145)</f>
        <v>2.5137483827899714</v>
      </c>
      <c r="I4" s="288">
        <f>IF(Výkazy!O145=0,0,Výkazy!O162/Výkazy!O145)</f>
        <v>1.1865638935870104</v>
      </c>
      <c r="J4" s="288">
        <f>IF(Výkazy!P145=0,0,Výkazy!P162/Výkazy!P145)</f>
        <v>0.90373828525254829</v>
      </c>
      <c r="K4" s="288">
        <f>IF(Výkazy!Q145=0,0,Výkazy!Q162/Výkazy!Q145)</f>
        <v>0.93768632386335338</v>
      </c>
      <c r="L4" s="288">
        <f>IF(Výkazy!R145=0,0,Výkazy!R162/Výkazy!R145)</f>
        <v>1.065618080016183</v>
      </c>
      <c r="M4" s="288">
        <f>IF(Výkazy!S145=0,0,Výkazy!S162/Výkazy!S145)</f>
        <v>1.0119829516696759</v>
      </c>
      <c r="N4" s="288">
        <f>IF(Výkazy!T145=0,0,Výkazy!T162/Výkazy!T145)</f>
        <v>0.68836393503475868</v>
      </c>
      <c r="O4" s="288">
        <f>IF(Výkazy!U145=0,0,Výkazy!U162/Výkazy!U145)</f>
        <v>0.38316484658157135</v>
      </c>
      <c r="P4" s="288">
        <f>IF(Výkazy!V145=0,0,Výkazy!V162/Výkazy!V145)</f>
        <v>0.23635008438400551</v>
      </c>
      <c r="Q4" s="288">
        <f>IF(Výkazy!W145=0,0,Výkazy!W162/Výkazy!W145)</f>
        <v>1.1009891288749527</v>
      </c>
      <c r="R4" s="288">
        <f>IF(Výkazy!X145=0,0,Výkazy!X162/Výkazy!X145)</f>
        <v>1.042215676716872</v>
      </c>
      <c r="S4" s="288">
        <f>IF(Výkazy!Y145=0,0,Výkazy!Y162/Výkazy!Y145)</f>
        <v>0.72987969635978645</v>
      </c>
      <c r="T4" s="288">
        <f>IF(Výkazy!Z145=0,0,Výkazy!Z162/Výkazy!Z145)</f>
        <v>0.50779509393430011</v>
      </c>
    </row>
    <row r="5" spans="2:20" x14ac:dyDescent="0.2">
      <c r="B5" s="269" t="s">
        <v>254</v>
      </c>
      <c r="C5" s="288">
        <f>IF(Výkazy!I144=0,0,Výkazy!I145/Výkazy!I144)</f>
        <v>9.1733095941407355E-2</v>
      </c>
      <c r="D5" s="288">
        <f>IF(Výkazy!J144=0,0,Výkazy!J145/Výkazy!J144)</f>
        <v>0.19664698296341546</v>
      </c>
      <c r="E5" s="288">
        <f>IF(Výkazy!K144=0,0,Výkazy!K145/Výkazy!K144)</f>
        <v>0.28341668837241324</v>
      </c>
      <c r="F5" s="288">
        <f>IF(Výkazy!L144=0,0,Výkazy!L145/Výkazy!L144)</f>
        <v>0.27999072324827723</v>
      </c>
      <c r="G5" s="288">
        <f>IF(Výkazy!M144=0,0,Výkazy!M145/Výkazy!M144)</f>
        <v>0.35322579887699929</v>
      </c>
      <c r="H5" s="288">
        <f>IF(Výkazy!N144=0,0,Výkazy!N145/Výkazy!N144)</f>
        <v>0.28457388757685187</v>
      </c>
      <c r="I5" s="288">
        <f>IF(Výkazy!O144=0,0,Výkazy!O145/Výkazy!O144)</f>
        <v>0.4572957393201742</v>
      </c>
      <c r="J5" s="288">
        <f>IF(Výkazy!P144=0,0,Výkazy!P145/Výkazy!P144)</f>
        <v>0.52515500892705291</v>
      </c>
      <c r="K5" s="288">
        <f>IF(Výkazy!Q144=0,0,Výkazy!Q145/Výkazy!Q144)</f>
        <v>0.51607940237004046</v>
      </c>
      <c r="L5" s="288">
        <f>IF(Výkazy!R144=0,0,Výkazy!R145/Výkazy!R144)</f>
        <v>0.48406132659423101</v>
      </c>
      <c r="M5" s="288">
        <f>IF(Výkazy!S144=0,0,Výkazy!S145/Výkazy!S144)</f>
        <v>0.49622135919990329</v>
      </c>
      <c r="N5" s="288">
        <f>IF(Výkazy!T144=0,0,Výkazy!T145/Výkazy!T144)</f>
        <v>0.59106865615563486</v>
      </c>
      <c r="O5" s="288">
        <f>IF(Výkazy!U144=0,0,Výkazy!U145/Výkazy!U144)</f>
        <v>0.72192999789001966</v>
      </c>
      <c r="P5" s="288">
        <f>IF(Výkazy!V144=0,0,Výkazy!V145/Výkazy!V144)</f>
        <v>0.80432115374630464</v>
      </c>
      <c r="Q5" s="288">
        <f>IF(Výkazy!W144=0,0,Výkazy!W145/Výkazy!W144)</f>
        <v>0.47438109869955808</v>
      </c>
      <c r="R5" s="288">
        <f>IF(Výkazy!X144=0,0,Výkazy!X145/Výkazy!X144)</f>
        <v>0.48758230256658247</v>
      </c>
      <c r="S5" s="288">
        <f>IF(Výkazy!Y144=0,0,Výkazy!Y145/Výkazy!Y144)</f>
        <v>0.57448403208331322</v>
      </c>
      <c r="T5" s="288">
        <f>IF(Výkazy!Z144=0,0,Výkazy!Z145/Výkazy!Z144)</f>
        <v>0.66322009139232119</v>
      </c>
    </row>
    <row r="6" spans="2:20" x14ac:dyDescent="0.2">
      <c r="B6" s="269" t="s">
        <v>255</v>
      </c>
      <c r="C6" s="288">
        <f>IF(Výkazy!I77=0,0,Výkazy!I145/Výkazy!I77)</f>
        <v>0.27584109022327674</v>
      </c>
      <c r="D6" s="288">
        <f>IF(Výkazy!J77=0,0,Výkazy!J145/Výkazy!J77)</f>
        <v>0.80303786240922448</v>
      </c>
      <c r="E6" s="288">
        <f>IF(Výkazy!K77=0,0,Výkazy!K145/Výkazy!K77)</f>
        <v>1.1534088049982396</v>
      </c>
      <c r="F6" s="288">
        <f>IF(Výkazy!L77=0,0,Výkazy!L145/Výkazy!L77)</f>
        <v>1.2441539659437015</v>
      </c>
      <c r="G6" s="288">
        <f>IF(Výkazy!M77=0,0,Výkazy!M145/Výkazy!M77)</f>
        <v>1.168053089382354</v>
      </c>
      <c r="H6" s="288">
        <f>IF(Výkazy!N77=0,0,Výkazy!N145/Výkazy!N77)</f>
        <v>0.60365955781232761</v>
      </c>
      <c r="I6" s="288">
        <f>IF(Výkazy!O77=0,0,Výkazy!O145/Výkazy!O77)</f>
        <v>0.85588496083802434</v>
      </c>
      <c r="J6" s="288">
        <f>IF(Výkazy!P77=0,0,Výkazy!P145/Výkazy!P77)</f>
        <v>0.86115562395863754</v>
      </c>
      <c r="K6" s="288">
        <f>IF(Výkazy!Q77=0,0,Výkazy!Q145/Výkazy!Q77)</f>
        <v>0.79650159432972123</v>
      </c>
      <c r="L6" s="288">
        <f>IF(Výkazy!R77=0,0,Výkazy!R145/Výkazy!R77)</f>
        <v>0.66866945538165312</v>
      </c>
      <c r="M6" s="288">
        <f>IF(Výkazy!S77=0,0,Výkazy!S145/Výkazy!S77)</f>
        <v>0.81743590300199953</v>
      </c>
      <c r="N6" s="288">
        <f>IF(Výkazy!T77=0,0,Výkazy!T145/Výkazy!T77)</f>
        <v>1.0803446967254968</v>
      </c>
      <c r="O6" s="288">
        <f>IF(Výkazy!U77=0,0,Výkazy!U145/Výkazy!U77)</f>
        <v>1.3397084597362263</v>
      </c>
      <c r="P6" s="288">
        <f>IF(Výkazy!V77=0,0,Výkazy!V145/Výkazy!V77)</f>
        <v>1.6174201382660514</v>
      </c>
      <c r="Q6" s="288">
        <f>IF(Výkazy!W77=0,0,Výkazy!W145/Výkazy!W77)</f>
        <v>0.66784870382718153</v>
      </c>
      <c r="R6" s="288">
        <f>IF(Výkazy!X77=0,0,Výkazy!X145/Výkazy!X77)</f>
        <v>0.74424672615335408</v>
      </c>
      <c r="S6" s="288">
        <f>IF(Výkazy!Y77=0,0,Výkazy!Y145/Výkazy!Y77)</f>
        <v>0.96652698952816263</v>
      </c>
      <c r="T6" s="288">
        <f>IF(Výkazy!Z77=0,0,Výkazy!Z145/Výkazy!Z77)</f>
        <v>0.97919204782049318</v>
      </c>
    </row>
    <row r="7" spans="2:20" x14ac:dyDescent="0.2">
      <c r="B7" s="269" t="s">
        <v>140</v>
      </c>
      <c r="C7" s="295">
        <f>IF(Výkazy!I75=0,"---",Výkazy!I77/Výkazy!I75)</f>
        <v>0.33255776312062479</v>
      </c>
      <c r="D7" s="295">
        <f>IF(Výkazy!J75=0,"---",Výkazy!J77/Výkazy!J75)</f>
        <v>0.2448788434127469</v>
      </c>
      <c r="E7" s="295">
        <f>IF(Výkazy!K75=0,"---",Výkazy!K77/Výkazy!K75)</f>
        <v>0.24572093358767605</v>
      </c>
      <c r="F7" s="295">
        <f>IF(Výkazy!L75=0,"---",Výkazy!L77/Výkazy!L75)</f>
        <v>0.22504507553926564</v>
      </c>
      <c r="G7" s="295">
        <f>IF(Výkazy!M75=0,"---",Výkazy!M77/Výkazy!M75)</f>
        <v>0.30240560303965186</v>
      </c>
      <c r="H7" s="295">
        <f>IF(Výkazy!N75=0,"---",Výkazy!N77/Výkazy!N75)</f>
        <v>0.47141453140931339</v>
      </c>
      <c r="I7" s="295">
        <f>IF(Výkazy!O75=0,"---",Výkazy!O77/Výkazy!O75)</f>
        <v>0.53429579937053828</v>
      </c>
      <c r="J7" s="295">
        <f>IF(Výkazy!P75=0,"---",Výkazy!P77/Výkazy!P75)</f>
        <v>0.6098259063942163</v>
      </c>
      <c r="K7" s="295">
        <f>IF(Výkazy!Q75=0,"---",Výkazy!Q77/Výkazy!Q75)</f>
        <v>0.64793266710826347</v>
      </c>
      <c r="L7" s="295">
        <f>IF(Výkazy!R75=0,"---",Výkazy!R77/Výkazy!R75)</f>
        <v>0.72391721006299847</v>
      </c>
      <c r="M7" s="295">
        <f>IF(Výkazy!S75=0,"---",Výkazy!S77/Výkazy!S75)</f>
        <v>0.60704620065934323</v>
      </c>
      <c r="N7" s="295">
        <f>IF(Výkazy!T75=0,"---",Výkazy!T77/Výkazy!T75)</f>
        <v>0.5368181684169242</v>
      </c>
      <c r="O7" s="295">
        <f>IF(Výkazy!U75=0,"---",Výkazy!U77/Výkazy!U75)</f>
        <v>0.53887097050365718</v>
      </c>
      <c r="P7" s="295">
        <f>IF(Výkazy!V75=0,"---",Výkazy!V77/Výkazy!V75)</f>
        <v>0.49728647165762002</v>
      </c>
      <c r="Q7" s="295">
        <f>IF(Výkazy!W75=0,"---",Výkazy!W77/Výkazy!W75)</f>
        <v>0.71031222488127066</v>
      </c>
      <c r="R7" s="295">
        <f>IF(Výkazy!X75=0,"---",Výkazy!X77/Výkazy!X75)</f>
        <v>0.65513530047576551</v>
      </c>
      <c r="S7" s="295">
        <f>IF(Výkazy!Y75=0,"---",Výkazy!Y77/Výkazy!Y75)</f>
        <v>0.59437971035217951</v>
      </c>
      <c r="T7" s="295">
        <f>IF(Výkazy!Z75=0,"---",Výkazy!Z77/Výkazy!Z75)</f>
        <v>0.67731647432717457</v>
      </c>
    </row>
    <row r="8" spans="2:20" x14ac:dyDescent="0.2">
      <c r="B8" s="269" t="s">
        <v>141</v>
      </c>
      <c r="C8" s="295">
        <f>IF(Výkazy!I$105=0,"---",Výkazy!I106/Výkazy!I$105)</f>
        <v>2.1543985637342907E-3</v>
      </c>
      <c r="D8" s="295">
        <f>IF(Výkazy!J$105=0,"---",Výkazy!J106/Výkazy!J$105)</f>
        <v>2.3287405394915583E-3</v>
      </c>
      <c r="E8" s="295">
        <f>IF(Výkazy!K$105=0,"---",Výkazy!K106/Výkazy!K$105)</f>
        <v>3.8575296004080381E-3</v>
      </c>
      <c r="F8" s="295">
        <f>IF(Výkazy!L$105=0,"---",Výkazy!L106/Výkazy!L$105)</f>
        <v>5.2728405302191056E-3</v>
      </c>
      <c r="G8" s="295">
        <f>IF(Výkazy!M$105=0,"---",Výkazy!M106/Výkazy!M$105)</f>
        <v>5.9156181515963484E-3</v>
      </c>
      <c r="H8" s="295">
        <f>IF(Výkazy!N$105=0,"---",Výkazy!N106/Výkazy!N$105)</f>
        <v>6.9124672432823607E-3</v>
      </c>
      <c r="I8" s="295">
        <f>IF(Výkazy!O$105=0,"---",Výkazy!O106/Výkazy!O$105)</f>
        <v>7.5611092597977899E-3</v>
      </c>
      <c r="J8" s="295">
        <f>IF(Výkazy!P$105=0,"---",Výkazy!P106/Výkazy!P$105)</f>
        <v>9.9414121776218566E-3</v>
      </c>
      <c r="K8" s="295">
        <f>IF(Výkazy!Q$105=0,"---",Výkazy!Q106/Výkazy!Q$105)</f>
        <v>1.406052596940419E-2</v>
      </c>
      <c r="L8" s="295">
        <f>IF(Výkazy!R$105=0,"---",Výkazy!R106/Výkazy!R$105)</f>
        <v>2.8535800603141846E-2</v>
      </c>
      <c r="M8" s="295">
        <f>IF(Výkazy!S$105=0,"---",Výkazy!S106/Výkazy!S$105)</f>
        <v>2.0969960270229297E-2</v>
      </c>
      <c r="N8" s="295">
        <f>IF(Výkazy!T$105=0,"---",Výkazy!T106/Výkazy!T$105)</f>
        <v>2.0900162877401575E-2</v>
      </c>
      <c r="O8" s="295">
        <f>IF(Výkazy!U$105=0,"---",Výkazy!U106/Výkazy!U$105)</f>
        <v>2.6521977837725301E-2</v>
      </c>
      <c r="P8" s="295">
        <f>IF(Výkazy!V$105=0,"---",Výkazy!V106/Výkazy!V$105)</f>
        <v>2.4793849685112869E-2</v>
      </c>
      <c r="Q8" s="295">
        <f>IF(Výkazy!W$105=0,"---",Výkazy!W106/Výkazy!W$105)</f>
        <v>2.8190148656202854E-2</v>
      </c>
      <c r="R8" s="295">
        <f>IF(Výkazy!X$105=0,"---",Výkazy!X106/Výkazy!X$105)</f>
        <v>2.4669315418799884E-2</v>
      </c>
      <c r="S8" s="295">
        <f>IF(Výkazy!Y$105=0,"---",Výkazy!Y106/Výkazy!Y$105)</f>
        <v>2.3021374542835715E-2</v>
      </c>
      <c r="T8" s="295">
        <f>IF(Výkazy!Z$105=0,"---",Výkazy!Z106/Výkazy!Z$105)</f>
        <v>1.1438783402876155E-2</v>
      </c>
    </row>
    <row r="9" spans="2:20" x14ac:dyDescent="0.2">
      <c r="B9" s="269" t="s">
        <v>142</v>
      </c>
      <c r="C9" s="295">
        <f>IF(Výkazy!I$105=0,"---",Výkazy!I129/Výkazy!I$105)</f>
        <v>1.4793536804308798E-2</v>
      </c>
      <c r="D9" s="295">
        <f>IF(Výkazy!J$105=0,"---",Výkazy!J129/Výkazy!J$105)</f>
        <v>2.1562412402699615E-4</v>
      </c>
      <c r="E9" s="295">
        <f>IF(Výkazy!K$105=0,"---",Výkazy!K129/Výkazy!K$105)</f>
        <v>4.7433168998460573E-4</v>
      </c>
      <c r="F9" s="295">
        <f>IF(Výkazy!L$105=0,"---",Výkazy!L129/Výkazy!L$105)</f>
        <v>2.1073500100816836E-4</v>
      </c>
      <c r="G9" s="295">
        <f>IF(Výkazy!M$105=0,"---",Výkazy!M129/Výkazy!M$105)</f>
        <v>3.9793269681426242E-4</v>
      </c>
      <c r="H9" s="295">
        <f>IF(Výkazy!N$105=0,"---",Výkazy!N129/Výkazy!N$105)</f>
        <v>4.1249352572598732E-4</v>
      </c>
      <c r="I9" s="295">
        <f>IF(Výkazy!O$105=0,"---",Výkazy!O129/Výkazy!O$105)</f>
        <v>4.9454451410007412E-4</v>
      </c>
      <c r="J9" s="295">
        <f>IF(Výkazy!P$105=0,"---",Výkazy!P129/Výkazy!P$105)</f>
        <v>3.9224891290389228E-4</v>
      </c>
      <c r="K9" s="295">
        <f>IF(Výkazy!Q$105=0,"---",Výkazy!Q129/Výkazy!Q$105)</f>
        <v>2.8756573724186639E-4</v>
      </c>
      <c r="L9" s="295">
        <f>IF(Výkazy!R$105=0,"---",Výkazy!R129/Výkazy!R$105)</f>
        <v>1.8197271444590692E-3</v>
      </c>
      <c r="M9" s="295">
        <f>IF(Výkazy!S$105=0,"---",Výkazy!S129/Výkazy!S$105)</f>
        <v>4.8100051228097619E-4</v>
      </c>
      <c r="N9" s="295">
        <f>IF(Výkazy!T$105=0,"---",Výkazy!T129/Výkazy!T$105)</f>
        <v>8.8417949812991787E-4</v>
      </c>
      <c r="O9" s="295">
        <f>IF(Výkazy!U$105=0,"---",Výkazy!U129/Výkazy!U$105)</f>
        <v>6.4504436289532631E-4</v>
      </c>
      <c r="P9" s="295">
        <f>IF(Výkazy!V$105=0,"---",Výkazy!V129/Výkazy!V$105)</f>
        <v>1.5113816862885867E-3</v>
      </c>
      <c r="Q9" s="295">
        <f>IF(Výkazy!W$105=0,"---",Výkazy!W129/Výkazy!W$105)</f>
        <v>1.5974629203788172E-3</v>
      </c>
      <c r="R9" s="295">
        <f>IF(Výkazy!X$105=0,"---",Výkazy!X129/Výkazy!X$105)</f>
        <v>1.3490612127499729E-3</v>
      </c>
      <c r="S9" s="295">
        <f>IF(Výkazy!Y$105=0,"---",Výkazy!Y129/Výkazy!Y$105)</f>
        <v>1.9214637550281654E-3</v>
      </c>
      <c r="T9" s="295">
        <f>IF(Výkazy!Z$105=0,"---",Výkazy!Z129/Výkazy!Z$105)</f>
        <v>5.7666235888364191E-3</v>
      </c>
    </row>
    <row r="10" spans="2:20" x14ac:dyDescent="0.2">
      <c r="B10" s="269" t="s">
        <v>143</v>
      </c>
      <c r="C10" s="295">
        <f>IF(Výkazy!I$105=0,"---",Likvidita!C35/Výkazy!I$105)</f>
        <v>-0.11964093357271095</v>
      </c>
      <c r="D10" s="295">
        <f>IF(Výkazy!J$105=0,"---",Likvidita!D35/Výkazy!J$105)</f>
        <v>2.9281756042866074E-2</v>
      </c>
      <c r="E10" s="295">
        <f>IF(Výkazy!K$105=0,"---",Likvidita!E35/Výkazy!K$105)</f>
        <v>9.4048909873911138E-2</v>
      </c>
      <c r="F10" s="295">
        <f>IF(Výkazy!L$105=0,"---",Likvidita!F35/Výkazy!L$105)</f>
        <v>-1.892276107267965E-2</v>
      </c>
      <c r="G10" s="295">
        <f>IF(Výkazy!M$105=0,"---",Likvidita!G35/Výkazy!M$105)</f>
        <v>3.0674116735267886E-2</v>
      </c>
      <c r="H10" s="295">
        <f>IF(Výkazy!N$105=0,"---",Likvidita!H35/Výkazy!N$105)</f>
        <v>5.7374550102436438E-2</v>
      </c>
      <c r="I10" s="295">
        <f>IF(Výkazy!O$105=0,"---",Likvidita!I35/Výkazy!O$105)</f>
        <v>-7.5373760777096219E-2</v>
      </c>
      <c r="J10" s="295">
        <f>IF(Výkazy!P$105=0,"---",Likvidita!J35/Výkazy!P$105)</f>
        <v>-0.20494568872326285</v>
      </c>
      <c r="K10" s="295">
        <f>IF(Výkazy!Q$105=0,"---",Likvidita!K35/Výkazy!Q$105)</f>
        <v>2.8781739220892187E-2</v>
      </c>
      <c r="L10" s="295">
        <f>IF(Výkazy!R$105=0,"---",Likvidita!L35/Výkazy!R$105)</f>
        <v>7.5675471584312523E-2</v>
      </c>
      <c r="M10" s="295">
        <f>IF(Výkazy!S$105=0,"---",Likvidita!M35/Výkazy!S$105)</f>
        <v>0.11059979122760677</v>
      </c>
      <c r="N10" s="295">
        <f>IF(Výkazy!T$105=0,"---",Likvidita!N35/Výkazy!T$105)</f>
        <v>0.46811972427432175</v>
      </c>
      <c r="O10" s="295">
        <f>IF(Výkazy!U$105=0,"---",Likvidita!O35/Výkazy!U$105)</f>
        <v>0.61853598698887546</v>
      </c>
      <c r="P10" s="295">
        <f>IF(Výkazy!V$105=0,"---",Likvidita!P35/Výkazy!V$105)</f>
        <v>0.68799249907720783</v>
      </c>
      <c r="Q10" s="295">
        <f>IF(Výkazy!W$105=0,"---",Likvidita!Q35/Výkazy!W$105)</f>
        <v>0.50336618539331812</v>
      </c>
      <c r="R10" s="295">
        <f>IF(Výkazy!X$105=0,"---",Likvidita!R35/Výkazy!X$105)</f>
        <v>0.53201517013277699</v>
      </c>
      <c r="S10" s="295">
        <f>IF(Výkazy!Y$105=0,"---",Likvidita!S35/Výkazy!Y$105)</f>
        <v>0.77297152138409142</v>
      </c>
      <c r="T10" s="295">
        <f>IF(Výkazy!Z$105=0,"---",Likvidita!T35/Výkazy!Z$105)</f>
        <v>0.82813974395612289</v>
      </c>
    </row>
    <row r="11" spans="2:20" x14ac:dyDescent="0.2">
      <c r="B11" s="269" t="s">
        <v>325</v>
      </c>
      <c r="C11" s="296">
        <f>IF(Výkazy!I106=0,"---",Trendy!D5/(Výkazy!I106))</f>
        <v>1694.5833333333333</v>
      </c>
      <c r="D11" s="296">
        <f>IF(Výkazy!J106=0,"---",Trendy!E5/(Výkazy!J106))</f>
        <v>1355.9444444444443</v>
      </c>
      <c r="E11" s="296">
        <f>IF(Výkazy!K106=0,"---",Trendy!F5/(Výkazy!K106))</f>
        <v>822.43456082297416</v>
      </c>
      <c r="F11" s="296">
        <f>IF(Výkazy!L106=0,"---",Trendy!G5/(Výkazy!L106))</f>
        <v>737.95597161964281</v>
      </c>
      <c r="G11" s="296">
        <f>IF(Výkazy!M106=0,"---",Trendy!H5/(Výkazy!M106))</f>
        <v>822.00637116379039</v>
      </c>
      <c r="H11" s="296">
        <f>IF(Výkazy!N106=0,"---",Trendy!I5/(Výkazy!N106))</f>
        <v>726.22426382443814</v>
      </c>
      <c r="I11" s="296">
        <f>IF(Výkazy!O106=0,"---",Trendy!J5/(Výkazy!O106))</f>
        <v>631.81262563304551</v>
      </c>
      <c r="J11" s="296">
        <f>IF(Výkazy!P106=0,"---",Trendy!K5/(Výkazy!P106))</f>
        <v>551.7419099140277</v>
      </c>
      <c r="K11" s="296">
        <f>IF(Výkazy!Q106=0,"---",Trendy!L5/(Výkazy!Q106))</f>
        <v>340.90984666586297</v>
      </c>
      <c r="L11" s="296">
        <f>IF(Výkazy!R106=0,"---",Trendy!M5/(Výkazy!R106))</f>
        <v>170.48516300460045</v>
      </c>
      <c r="M11" s="296">
        <f>IF(Výkazy!S106=0,"---",Trendy!N5/(Výkazy!S106))</f>
        <v>179.08083347315417</v>
      </c>
      <c r="N11" s="296">
        <f>IF(Výkazy!T106=0,"---",Trendy!O5/(Výkazy!T106))</f>
        <v>153.17459445885962</v>
      </c>
      <c r="O11" s="296">
        <f>IF(Výkazy!U106=0,"---",Trendy!P5/(Výkazy!U106))</f>
        <v>150.95855615522407</v>
      </c>
      <c r="P11" s="296">
        <f>IF(Výkazy!V106=0,"---",Trendy!Q5/(Výkazy!V106))</f>
        <v>117.88987772933007</v>
      </c>
      <c r="Q11" s="296">
        <f>IF(Výkazy!W106=0,"---",Trendy!R5/(Výkazy!W106))</f>
        <v>115.59687355952022</v>
      </c>
      <c r="R11" s="296">
        <f>IF(Výkazy!X106=0,"---",Trendy!S5/(Výkazy!X106))</f>
        <v>115.26136832934111</v>
      </c>
      <c r="S11" s="296">
        <f>IF(Výkazy!Y106=0,"---",Trendy!T5/(Výkazy!Y106))</f>
        <v>124.2765041723805</v>
      </c>
      <c r="T11" s="296">
        <f>IF(Výkazy!Z106=0,"---",Trendy!U5/(Výkazy!Z106))</f>
        <v>247.37686275731582</v>
      </c>
    </row>
    <row r="12" spans="2:20" x14ac:dyDescent="0.2">
      <c r="B12" s="269" t="s">
        <v>144</v>
      </c>
      <c r="C12" s="269">
        <f>IF((Výkazy!I$4+Výkazy!I$8)=0,"---",Výkazy!I129/((Výkazy!I$4+Výkazy!I$8)/365))</f>
        <v>1.4790263093189082</v>
      </c>
      <c r="D12" s="269">
        <f>IF((Výkazy!J$4+Výkazy!J$8)=0,"---",Výkazy!J129/((Výkazy!J$4+Výkazy!J$8)/365))</f>
        <v>2.4924543505278542E-2</v>
      </c>
      <c r="E12" s="269">
        <f>IF((Výkazy!K$4+Výkazy!K$8)=0,"---",Výkazy!K129/((Výkazy!K$4+Výkazy!K$8)/365))</f>
        <v>5.4571310808755172E-2</v>
      </c>
      <c r="F12" s="269">
        <f>IF((Výkazy!L$4+Výkazy!L$8)=0,"---",Výkazy!L129/((Výkazy!L$4+Výkazy!L$8)/365))</f>
        <v>1.976762299811655E-2</v>
      </c>
      <c r="G12" s="269">
        <f>IF((Výkazy!M$4+Výkazy!M$8)=0,"---",Výkazy!M129/((Výkazy!M$4+Výkazy!M$8)/365))</f>
        <v>2.98694463733277E-2</v>
      </c>
      <c r="H12" s="269">
        <f>IF((Výkazy!N$4+Výkazy!N$8)=0,"---",Výkazy!N129/((Výkazy!N$4+Výkazy!N$8)/365))</f>
        <v>2.9992050568225945E-2</v>
      </c>
      <c r="I12" s="269">
        <f>IF((Výkazy!O$4+Výkazy!O$8)=0,"---",Výkazy!O129/((Výkazy!O$4+Výkazy!O$8)/365))</f>
        <v>3.7785436111301161E-2</v>
      </c>
      <c r="J12" s="269">
        <f>IF((Výkazy!P$4+Výkazy!P$8)=0,"---",Výkazy!P129/((Výkazy!P$4+Výkazy!P$8)/365))</f>
        <v>2.6106412315492995E-2</v>
      </c>
      <c r="K12" s="269">
        <f>IF((Výkazy!Q$4+Výkazy!Q$8)=0,"---",Výkazy!Q129/((Výkazy!Q$4+Výkazy!Q$8)/365))</f>
        <v>2.189358296668719E-2</v>
      </c>
      <c r="L12" s="269">
        <f>IF((Výkazy!R$4+Výkazy!R$8)=0,"---",Výkazy!R129/((Výkazy!R$4+Výkazy!R$8)/365))</f>
        <v>0.13652823852544185</v>
      </c>
      <c r="M12" s="269">
        <f>IF((Výkazy!S$4+Výkazy!S$8)=0,"---",Výkazy!S129/((Výkazy!S$4+Výkazy!S$8)/365))</f>
        <v>4.6751084384348919E-2</v>
      </c>
      <c r="N12" s="269">
        <f>IF((Výkazy!T$4+Výkazy!T$8)=0,"---",Výkazy!T129/((Výkazy!T$4+Výkazy!T$8)/365))</f>
        <v>0.10080844023608085</v>
      </c>
      <c r="O12" s="269">
        <f>IF((Výkazy!U$4+Výkazy!U$8)=0,"---",Výkazy!U129/((Výkazy!U$4+Výkazy!U$8)/365))</f>
        <v>5.8805616524331188E-2</v>
      </c>
      <c r="P12" s="269">
        <f>IF((Výkazy!V$4+Výkazy!V$8)=0,"---",Výkazy!V129/((Výkazy!V$4+Výkazy!V$8)/365))</f>
        <v>0.18873243308568036</v>
      </c>
      <c r="Q12" s="269">
        <f>IF((Výkazy!W$4+Výkazy!W$8)=0,"---",Výkazy!W129/((Výkazy!W$4+Výkazy!W$8)/365))</f>
        <v>0.17892877820074612</v>
      </c>
      <c r="R12" s="269">
        <f>IF((Výkazy!X$4+Výkazy!X$8)=0,"---",Výkazy!X129/((Výkazy!X$4+Výkazy!X$8)/365))</f>
        <v>0.17317438402003921</v>
      </c>
      <c r="S12" s="269">
        <f>IF((Výkazy!Y$4+Výkazy!Y$8)=0,"---",Výkazy!Y129/((Výkazy!Y$4+Výkazy!Y$8)/365))</f>
        <v>0.24513469445209723</v>
      </c>
      <c r="T12" s="269">
        <f>IF((Výkazy!Z$4+Výkazy!Z$8)=0,"---",Výkazy!Z129/((Výkazy!Z$4+Výkazy!Z$8)/365))</f>
        <v>0.74383319307868323</v>
      </c>
    </row>
    <row r="13" spans="2:20" x14ac:dyDescent="0.2">
      <c r="B13" s="269" t="s">
        <v>298</v>
      </c>
      <c r="C13" s="297">
        <f>'Vykazy HELIOS'!D3</f>
        <v>31</v>
      </c>
      <c r="D13" s="297">
        <f>'Vykazy HELIOS'!E3</f>
        <v>57</v>
      </c>
      <c r="E13" s="297">
        <f>'Vykazy HELIOS'!F3</f>
        <v>73</v>
      </c>
      <c r="F13" s="297">
        <f>'Vykazy HELIOS'!G3</f>
        <v>88</v>
      </c>
      <c r="G13" s="297">
        <f>'Vykazy HELIOS'!H3</f>
        <v>101</v>
      </c>
      <c r="H13" s="297">
        <f>'Vykazy HELIOS'!I3</f>
        <v>111</v>
      </c>
      <c r="I13" s="297">
        <f>'Vykazy HELIOS'!J3</f>
        <v>124</v>
      </c>
      <c r="J13" s="297">
        <f>'Vykazy HELIOS'!K3</f>
        <v>131</v>
      </c>
      <c r="K13" s="297">
        <f>'Vykazy HELIOS'!L3</f>
        <v>132</v>
      </c>
      <c r="L13" s="297">
        <f>'Vykazy HELIOS'!M3</f>
        <v>115</v>
      </c>
      <c r="M13" s="297">
        <f>'Vykazy HELIOS'!N3</f>
        <v>109</v>
      </c>
      <c r="N13" s="297">
        <f>'Vykazy HELIOS'!O3</f>
        <v>123</v>
      </c>
      <c r="O13" s="297">
        <f>'Vykazy HELIOS'!P3</f>
        <v>118</v>
      </c>
      <c r="P13" s="297">
        <f>'Vykazy HELIOS'!Q3</f>
        <v>109</v>
      </c>
      <c r="Q13" s="297">
        <f>'Vykazy HELIOS'!R3</f>
        <v>110</v>
      </c>
      <c r="R13" s="297">
        <f>'Vykazy HELIOS'!S3</f>
        <v>107</v>
      </c>
      <c r="S13" s="297">
        <f>'Vykazy HELIOS'!T3</f>
        <v>100</v>
      </c>
      <c r="T13" s="297">
        <f>'Vykazy HELIOS'!U3</f>
        <v>92</v>
      </c>
    </row>
    <row r="14" spans="2:20" x14ac:dyDescent="0.2">
      <c r="B14" s="298" t="s">
        <v>299</v>
      </c>
      <c r="C14" s="298">
        <f>Trendy!D5/C13</f>
        <v>3279.8387096774195</v>
      </c>
      <c r="D14" s="298">
        <f>Trendy!E5/D13</f>
        <v>2569.1578947368421</v>
      </c>
      <c r="E14" s="298">
        <f>Trendy!F5/E13</f>
        <v>2480.1694882191778</v>
      </c>
      <c r="F14" s="298">
        <f>Trendy!G5/F13</f>
        <v>2552.0360711363637</v>
      </c>
      <c r="G14" s="298">
        <f>Trendy!H5/G13</f>
        <v>3090.8548857425744</v>
      </c>
      <c r="H14" s="298">
        <f>Trendy!I5/H13</f>
        <v>3178.0509371171165</v>
      </c>
      <c r="I14" s="269">
        <f>Trendy!J5/I13</f>
        <v>3192.1173228225803</v>
      </c>
      <c r="J14" s="269">
        <f>Trendy!K5/J13</f>
        <v>3180.1937865648856</v>
      </c>
      <c r="K14" s="269">
        <f>Trendy!L5/K13</f>
        <v>3356.295431212121</v>
      </c>
      <c r="L14" s="269">
        <f>Trendy!M5/L13</f>
        <v>3531.3752001739126</v>
      </c>
      <c r="M14" s="269">
        <f>Trendy!N5/M13</f>
        <v>3697.8350044036697</v>
      </c>
      <c r="N14" s="269">
        <f>Trendy!O5/N13</f>
        <v>3137.1873372357722</v>
      </c>
      <c r="O14" s="269">
        <f>Trendy!P5/O13</f>
        <v>3304.4704488983052</v>
      </c>
      <c r="P14" s="269">
        <f>Trendy!Q5/P13</f>
        <v>2481.8681822935778</v>
      </c>
      <c r="Q14" s="269">
        <f>Trendy!R5/Q13</f>
        <v>2678.3059987272727</v>
      </c>
      <c r="R14" s="269">
        <f>Trendy!S5/R13</f>
        <v>2784.6153509345795</v>
      </c>
      <c r="S14" s="269">
        <f>Trendy!T5/S13</f>
        <v>2863.4573436000001</v>
      </c>
      <c r="T14" s="269">
        <f>Trendy!U5/T13</f>
        <v>2269.8365196739132</v>
      </c>
    </row>
    <row r="16" spans="2:20" x14ac:dyDescent="0.2">
      <c r="B16" s="267" t="s">
        <v>335</v>
      </c>
      <c r="C16" s="268">
        <f>Výkazy!I$3</f>
        <v>2007</v>
      </c>
      <c r="D16" s="268">
        <f>Výkazy!J$3</f>
        <v>2008</v>
      </c>
      <c r="E16" s="268">
        <f>Výkazy!K$3</f>
        <v>2009</v>
      </c>
      <c r="F16" s="268">
        <f>Výkazy!L$3</f>
        <v>2010</v>
      </c>
      <c r="G16" s="268">
        <f>Výkazy!M$3</f>
        <v>2011</v>
      </c>
      <c r="H16" s="268">
        <f>Výkazy!N$3</f>
        <v>2012</v>
      </c>
      <c r="I16" s="268">
        <f>Výkazy!O$3</f>
        <v>2013</v>
      </c>
      <c r="J16" s="268">
        <f>Výkazy!P$3</f>
        <v>2014</v>
      </c>
      <c r="K16" s="268">
        <f>Výkazy!Q$3</f>
        <v>2015</v>
      </c>
      <c r="L16" s="268">
        <f>Výkazy!R$3</f>
        <v>2016</v>
      </c>
      <c r="M16" s="268">
        <f>Výkazy!S$3</f>
        <v>2017</v>
      </c>
      <c r="N16" s="268">
        <f>Výkazy!T$3</f>
        <v>2018</v>
      </c>
      <c r="O16" s="268">
        <f>Výkazy!U$3</f>
        <v>2019</v>
      </c>
      <c r="P16" s="268">
        <f>Výkazy!V$3</f>
        <v>2020</v>
      </c>
      <c r="Q16" s="268">
        <f>Výkazy!W$3</f>
        <v>2021</v>
      </c>
      <c r="R16" s="268">
        <f>Výkazy!X$3</f>
        <v>2022</v>
      </c>
      <c r="S16" s="268">
        <f>Výkazy!Y$3</f>
        <v>2023</v>
      </c>
      <c r="T16" s="268">
        <f>Výkazy!Z$3</f>
        <v>2024</v>
      </c>
    </row>
    <row r="17" spans="2:20" x14ac:dyDescent="0.2">
      <c r="B17" s="269" t="s">
        <v>336</v>
      </c>
      <c r="C17" s="299">
        <f t="shared" ref="C17:H17" si="0">C3</f>
        <v>0.90826690405859267</v>
      </c>
      <c r="D17" s="299">
        <f t="shared" si="0"/>
        <v>0.80335301703658457</v>
      </c>
      <c r="E17" s="299">
        <f t="shared" si="0"/>
        <v>0.71153903139480579</v>
      </c>
      <c r="F17" s="299">
        <f t="shared" si="0"/>
        <v>0.71881713791806567</v>
      </c>
      <c r="G17" s="299">
        <f t="shared" si="0"/>
        <v>0.64612645505123534</v>
      </c>
      <c r="H17" s="299">
        <f t="shared" si="0"/>
        <v>0.71534714968056623</v>
      </c>
      <c r="I17" s="299">
        <f t="shared" ref="I17:J17" si="1">I3</f>
        <v>0.54261061296849633</v>
      </c>
      <c r="J17" s="299">
        <f t="shared" si="1"/>
        <v>0.47460268725952159</v>
      </c>
      <c r="K17" s="299">
        <f t="shared" ref="K17:L17" si="2">K3</f>
        <v>0.48392059762995948</v>
      </c>
      <c r="L17" s="299">
        <f t="shared" si="2"/>
        <v>0.51582450145543091</v>
      </c>
      <c r="M17" s="299">
        <f t="shared" ref="M17:N17" si="3">M3</f>
        <v>0.50216755576465655</v>
      </c>
      <c r="N17" s="299">
        <f t="shared" si="3"/>
        <v>0.3992157426485502</v>
      </c>
      <c r="O17" s="299">
        <f t="shared" ref="O17:P17" si="4">O3</f>
        <v>0.27661819688416361</v>
      </c>
      <c r="P17" s="299">
        <f t="shared" si="4"/>
        <v>0.19010137255977977</v>
      </c>
      <c r="Q17" s="299">
        <f t="shared" ref="Q17:R17" si="5">Q3</f>
        <v>0.52228843261196944</v>
      </c>
      <c r="R17" s="299">
        <f t="shared" si="5"/>
        <v>0.50816591942460132</v>
      </c>
      <c r="S17" s="299">
        <f t="shared" ref="S17:T17" si="6">S3</f>
        <v>0.41930423090051455</v>
      </c>
      <c r="T17" s="299">
        <f t="shared" si="6"/>
        <v>0.33678133760739121</v>
      </c>
    </row>
    <row r="36" spans="2:20" ht="16.5" customHeight="1" x14ac:dyDescent="0.2">
      <c r="B36" s="273" t="s">
        <v>570</v>
      </c>
    </row>
    <row r="39" spans="2:20" x14ac:dyDescent="0.2">
      <c r="B39" s="267" t="s">
        <v>335</v>
      </c>
      <c r="C39" s="268">
        <f>Výkazy!I$3</f>
        <v>2007</v>
      </c>
      <c r="D39" s="268">
        <f>Výkazy!J$3</f>
        <v>2008</v>
      </c>
      <c r="E39" s="268">
        <f>Výkazy!K$3</f>
        <v>2009</v>
      </c>
      <c r="F39" s="268">
        <f>Výkazy!L$3</f>
        <v>2010</v>
      </c>
      <c r="G39" s="268">
        <f>Výkazy!M$3</f>
        <v>2011</v>
      </c>
      <c r="H39" s="268">
        <f>Výkazy!N$3</f>
        <v>2012</v>
      </c>
      <c r="I39" s="268">
        <f>Výkazy!O$3</f>
        <v>2013</v>
      </c>
      <c r="J39" s="268">
        <f>Výkazy!P$3</f>
        <v>2014</v>
      </c>
      <c r="K39" s="268">
        <f>Výkazy!Q$3</f>
        <v>2015</v>
      </c>
      <c r="L39" s="268">
        <f>Výkazy!R$3</f>
        <v>2016</v>
      </c>
      <c r="M39" s="268">
        <f>Výkazy!S$3</f>
        <v>2017</v>
      </c>
      <c r="N39" s="268">
        <f>Výkazy!T$3</f>
        <v>2018</v>
      </c>
      <c r="O39" s="268">
        <f>Výkazy!U$3</f>
        <v>2019</v>
      </c>
      <c r="P39" s="268">
        <f>Výkazy!V$3</f>
        <v>2020</v>
      </c>
      <c r="Q39" s="268">
        <f>Výkazy!W$3</f>
        <v>2021</v>
      </c>
      <c r="R39" s="268">
        <f>Výkazy!X$3</f>
        <v>2022</v>
      </c>
      <c r="S39" s="268">
        <f>Výkazy!Y$3</f>
        <v>2023</v>
      </c>
      <c r="T39" s="268">
        <f>Výkazy!Z$3</f>
        <v>2024</v>
      </c>
    </row>
    <row r="40" spans="2:20" x14ac:dyDescent="0.2">
      <c r="B40" s="269" t="s">
        <v>569</v>
      </c>
      <c r="C40" s="300">
        <f>C4</f>
        <v>9.9011910013233351</v>
      </c>
      <c r="D40" s="300">
        <f t="shared" ref="D40:H40" si="7">D4</f>
        <v>4.0852547287035756</v>
      </c>
      <c r="E40" s="300">
        <f t="shared" si="7"/>
        <v>2.5105756315232721</v>
      </c>
      <c r="F40" s="300">
        <f t="shared" si="7"/>
        <v>2.5672891215065943</v>
      </c>
      <c r="G40" s="300">
        <f t="shared" si="7"/>
        <v>1.8292164873161785</v>
      </c>
      <c r="H40" s="300">
        <f t="shared" si="7"/>
        <v>2.5137483827899714</v>
      </c>
      <c r="I40" s="300">
        <f t="shared" ref="I40:J40" si="8">I4</f>
        <v>1.1865638935870104</v>
      </c>
      <c r="J40" s="300">
        <f t="shared" si="8"/>
        <v>0.90373828525254829</v>
      </c>
      <c r="K40" s="300">
        <f t="shared" ref="K40:L40" si="9">K4</f>
        <v>0.93768632386335338</v>
      </c>
      <c r="L40" s="300">
        <f t="shared" si="9"/>
        <v>1.065618080016183</v>
      </c>
      <c r="M40" s="300">
        <f t="shared" ref="M40:N40" si="10">M4</f>
        <v>1.0119829516696759</v>
      </c>
      <c r="N40" s="300">
        <f t="shared" si="10"/>
        <v>0.68836393503475868</v>
      </c>
      <c r="O40" s="300">
        <f t="shared" ref="O40:P40" si="11">O4</f>
        <v>0.38316484658157135</v>
      </c>
      <c r="P40" s="300">
        <f t="shared" si="11"/>
        <v>0.23635008438400551</v>
      </c>
      <c r="Q40" s="300">
        <f t="shared" ref="Q40:R40" si="12">Q4</f>
        <v>1.1009891288749527</v>
      </c>
      <c r="R40" s="300">
        <f t="shared" si="12"/>
        <v>1.042215676716872</v>
      </c>
      <c r="S40" s="300">
        <f t="shared" ref="S40:T40" si="13">S4</f>
        <v>0.72987969635978645</v>
      </c>
      <c r="T40" s="300">
        <f t="shared" si="13"/>
        <v>0.50779509393430011</v>
      </c>
    </row>
    <row r="59" spans="2:20" ht="45" customHeight="1" x14ac:dyDescent="0.2"/>
    <row r="60" spans="2:20" x14ac:dyDescent="0.2">
      <c r="B60" s="267" t="s">
        <v>338</v>
      </c>
      <c r="C60" s="268">
        <f>Výkazy!I$3</f>
        <v>2007</v>
      </c>
      <c r="D60" s="268">
        <f>Výkazy!J$3</f>
        <v>2008</v>
      </c>
      <c r="E60" s="268">
        <f>Výkazy!K$3</f>
        <v>2009</v>
      </c>
      <c r="F60" s="268">
        <f>Výkazy!L$3</f>
        <v>2010</v>
      </c>
      <c r="G60" s="268">
        <f>Výkazy!M$3</f>
        <v>2011</v>
      </c>
      <c r="H60" s="268">
        <f>Výkazy!N$3</f>
        <v>2012</v>
      </c>
      <c r="I60" s="268">
        <f>Výkazy!O$3</f>
        <v>2013</v>
      </c>
      <c r="J60" s="268">
        <f>Výkazy!P$3</f>
        <v>2014</v>
      </c>
      <c r="K60" s="268">
        <f>Výkazy!Q$3</f>
        <v>2015</v>
      </c>
      <c r="L60" s="268">
        <f>Výkazy!R$3</f>
        <v>2016</v>
      </c>
      <c r="M60" s="268">
        <f>Výkazy!S$3</f>
        <v>2017</v>
      </c>
      <c r="N60" s="268">
        <f>Výkazy!T$3</f>
        <v>2018</v>
      </c>
      <c r="O60" s="268">
        <f>Výkazy!U$3</f>
        <v>2019</v>
      </c>
      <c r="P60" s="268">
        <f>Výkazy!V$3</f>
        <v>2020</v>
      </c>
      <c r="Q60" s="268">
        <f>Výkazy!W$3</f>
        <v>2021</v>
      </c>
      <c r="R60" s="268">
        <f>Výkazy!X$3</f>
        <v>2022</v>
      </c>
      <c r="S60" s="268">
        <f>Výkazy!Y$3</f>
        <v>2023</v>
      </c>
      <c r="T60" s="268">
        <f>Výkazy!Z$3</f>
        <v>2024</v>
      </c>
    </row>
    <row r="61" spans="2:20" x14ac:dyDescent="0.2">
      <c r="B61" s="269" t="s">
        <v>337</v>
      </c>
      <c r="C61" s="269">
        <f t="shared" ref="C61:H61" si="14">C14</f>
        <v>3279.8387096774195</v>
      </c>
      <c r="D61" s="269">
        <f t="shared" si="14"/>
        <v>2569.1578947368421</v>
      </c>
      <c r="E61" s="269">
        <f t="shared" si="14"/>
        <v>2480.1694882191778</v>
      </c>
      <c r="F61" s="269">
        <f t="shared" si="14"/>
        <v>2552.0360711363637</v>
      </c>
      <c r="G61" s="269">
        <f t="shared" si="14"/>
        <v>3090.8548857425744</v>
      </c>
      <c r="H61" s="269">
        <f t="shared" si="14"/>
        <v>3178.0509371171165</v>
      </c>
      <c r="I61" s="269">
        <f t="shared" ref="I61:J61" si="15">I14</f>
        <v>3192.1173228225803</v>
      </c>
      <c r="J61" s="269">
        <f t="shared" si="15"/>
        <v>3180.1937865648856</v>
      </c>
      <c r="K61" s="269">
        <f t="shared" ref="K61:L61" si="16">K14</f>
        <v>3356.295431212121</v>
      </c>
      <c r="L61" s="269">
        <f t="shared" si="16"/>
        <v>3531.3752001739126</v>
      </c>
      <c r="M61" s="269">
        <f t="shared" ref="M61:N61" si="17">M14</f>
        <v>3697.8350044036697</v>
      </c>
      <c r="N61" s="269">
        <f t="shared" si="17"/>
        <v>3137.1873372357722</v>
      </c>
      <c r="O61" s="269">
        <f t="shared" ref="O61:P61" si="18">O14</f>
        <v>3304.4704488983052</v>
      </c>
      <c r="P61" s="269">
        <f t="shared" si="18"/>
        <v>2481.8681822935778</v>
      </c>
      <c r="Q61" s="269">
        <f t="shared" ref="Q61:R61" si="19">Q14</f>
        <v>2678.3059987272727</v>
      </c>
      <c r="R61" s="269">
        <f t="shared" si="19"/>
        <v>2784.6153509345795</v>
      </c>
      <c r="S61" s="269">
        <f t="shared" ref="S61:T61" si="20">S14</f>
        <v>2863.4573436000001</v>
      </c>
      <c r="T61" s="269">
        <f t="shared" si="20"/>
        <v>2269.8365196739132</v>
      </c>
    </row>
  </sheetData>
  <phoneticPr fontId="0" type="noConversion"/>
  <printOptions gridLinesSet="0"/>
  <pageMargins left="0.59055118110236227" right="0" top="0.39370078740157483" bottom="0.39370078740157483" header="0.51181102362204722" footer="0.31496062992125984"/>
  <pageSetup paperSize="9" orientation="portrait" horizontalDpi="300" verticalDpi="300" r:id="rId1"/>
  <headerFooter alignWithMargins="0">
    <oddFooter>&amp;C&amp;F / &amp;D</oddFooter>
  </headerFooter>
  <ignoredErrors>
    <ignoredError sqref="I13:Q13" unlocked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syncVertical="1" syncRef="A31" transitionEvaluation="1" transitionEntry="1" codeName="List13"/>
  <dimension ref="B2:S36"/>
  <sheetViews>
    <sheetView showGridLines="0" topLeftCell="A31" zoomScale="150" zoomScaleNormal="150" workbookViewId="0">
      <selection activeCell="U38" sqref="U38"/>
    </sheetView>
  </sheetViews>
  <sheetFormatPr defaultColWidth="9.83203125" defaultRowHeight="11.25" outlineLevelCol="1" x14ac:dyDescent="0.2"/>
  <cols>
    <col min="1" max="1" width="0.6640625" customWidth="1"/>
    <col min="2" max="2" width="34" style="273" bestFit="1" customWidth="1"/>
    <col min="3" max="6" width="9.33203125" style="273" hidden="1" customWidth="1" outlineLevel="1"/>
    <col min="7" max="7" width="6" style="273" bestFit="1" customWidth="1" collapsed="1"/>
    <col min="8" max="9" width="6" style="273" bestFit="1" customWidth="1"/>
    <col min="10" max="11" width="6.83203125" style="273" bestFit="1" customWidth="1"/>
    <col min="12" max="12" width="6.5" style="273" bestFit="1" customWidth="1"/>
    <col min="13" max="15" width="6" style="273" bestFit="1" customWidth="1"/>
    <col min="16" max="16" width="6.83203125" style="273" bestFit="1" customWidth="1"/>
    <col min="17" max="19" width="6" style="273" bestFit="1" customWidth="1"/>
    <col min="20" max="28" width="9.83203125" customWidth="1"/>
    <col min="36" max="36" width="3.83203125" customWidth="1"/>
    <col min="48" max="48" width="3.83203125" customWidth="1"/>
    <col min="115" max="115" width="4.83203125" customWidth="1"/>
  </cols>
  <sheetData>
    <row r="2" spans="2:19" x14ac:dyDescent="0.2">
      <c r="B2" s="267" t="s">
        <v>303</v>
      </c>
      <c r="C2" s="268">
        <f>Výkazy!J$3</f>
        <v>2008</v>
      </c>
      <c r="D2" s="268">
        <f>Výkazy!K$3</f>
        <v>2009</v>
      </c>
      <c r="E2" s="268">
        <f>Výkazy!L$3</f>
        <v>2010</v>
      </c>
      <c r="F2" s="268">
        <f>Výkazy!M$3</f>
        <v>2011</v>
      </c>
      <c r="G2" s="268">
        <f>Výkazy!N$3</f>
        <v>2012</v>
      </c>
      <c r="H2" s="268">
        <f>Výkazy!O$3</f>
        <v>2013</v>
      </c>
      <c r="I2" s="268">
        <f>Výkazy!P$3</f>
        <v>2014</v>
      </c>
      <c r="J2" s="268">
        <f>Výkazy!Q$3</f>
        <v>2015</v>
      </c>
      <c r="K2" s="268">
        <f>Výkazy!R$3</f>
        <v>2016</v>
      </c>
      <c r="L2" s="268">
        <f>Výkazy!S$3</f>
        <v>2017</v>
      </c>
      <c r="M2" s="268">
        <f>Výkazy!T$3</f>
        <v>2018</v>
      </c>
      <c r="N2" s="268">
        <f>Výkazy!U$3</f>
        <v>2019</v>
      </c>
      <c r="O2" s="268">
        <f>Výkazy!V$3</f>
        <v>2020</v>
      </c>
      <c r="P2" s="268">
        <f>Výkazy!W$3</f>
        <v>2021</v>
      </c>
      <c r="Q2" s="268">
        <f>Výkazy!X$3</f>
        <v>2022</v>
      </c>
      <c r="R2" s="268">
        <f>Výkazy!Y$3</f>
        <v>2023</v>
      </c>
      <c r="S2" s="268">
        <f>Výkazy!Z$3</f>
        <v>2024</v>
      </c>
    </row>
    <row r="3" spans="2:19" x14ac:dyDescent="0.2">
      <c r="B3" s="269" t="s">
        <v>304</v>
      </c>
      <c r="C3" s="270">
        <f>Výkazy!J222</f>
        <v>7495</v>
      </c>
      <c r="D3" s="270">
        <f>Výkazy!K222</f>
        <v>2077.1057499999943</v>
      </c>
      <c r="E3" s="270">
        <f>Výkazy!L222</f>
        <v>6471.3981099999983</v>
      </c>
      <c r="F3" s="270">
        <f>Výkazy!M222</f>
        <v>26517.756479999982</v>
      </c>
      <c r="G3" s="270">
        <f>Výkazy!N222</f>
        <v>41852.151499999949</v>
      </c>
      <c r="H3" s="270">
        <f>Výkazy!O222</f>
        <v>63396.530069999921</v>
      </c>
      <c r="I3" s="270">
        <f>Výkazy!P222</f>
        <v>83759.971170000048</v>
      </c>
      <c r="J3" s="270">
        <f>Výkazy!Q222</f>
        <v>78462.87940999995</v>
      </c>
      <c r="K3" s="270">
        <f>Výkazy!R222</f>
        <v>103262.95006999995</v>
      </c>
      <c r="L3" s="270">
        <f>Výkazy!S222</f>
        <v>142694.50405999998</v>
      </c>
      <c r="M3" s="270">
        <f>Výkazy!T222</f>
        <v>34473.388589999973</v>
      </c>
      <c r="N3" s="270">
        <f>Výkazy!U222</f>
        <v>79157.07272000004</v>
      </c>
      <c r="O3" s="270">
        <f>Výkazy!V222</f>
        <v>31699.986139999983</v>
      </c>
      <c r="P3" s="270">
        <f>Výkazy!W222</f>
        <v>189032.71025</v>
      </c>
      <c r="Q3" s="270">
        <f>Výkazy!X222</f>
        <v>6793.0552299999872</v>
      </c>
      <c r="R3" s="270">
        <f>Výkazy!Y222</f>
        <v>21671.363410000005</v>
      </c>
      <c r="S3" s="270">
        <f>Výkazy!Z222</f>
        <v>16973.074769999977</v>
      </c>
    </row>
    <row r="5" spans="2:19" x14ac:dyDescent="0.2">
      <c r="B5" s="269" t="s">
        <v>305</v>
      </c>
      <c r="C5" s="282">
        <f>C3/Trendy!E5</f>
        <v>5.1180672211524017E-2</v>
      </c>
      <c r="D5" s="282">
        <f>D3/Trendy!F5</f>
        <v>1.1472402817554119E-2</v>
      </c>
      <c r="E5" s="282">
        <f>E3/Trendy!G5</f>
        <v>2.8815664370142914E-2</v>
      </c>
      <c r="F5" s="282">
        <f>F3/Trendy!H5</f>
        <v>8.494479814226466E-2</v>
      </c>
      <c r="G5" s="282">
        <f>G3/Trendy!I5</f>
        <v>0.1186407698839267</v>
      </c>
      <c r="H5" s="282">
        <f>H3/Trendy!J5</f>
        <v>0.16016401891585774</v>
      </c>
      <c r="I5" s="282">
        <f>I3/Trendy!K5</f>
        <v>0.20105350045080286</v>
      </c>
      <c r="J5" s="282">
        <f>J3/Trendy!L5</f>
        <v>0.17710471717663659</v>
      </c>
      <c r="K5" s="282">
        <f>K3/Trendy!M5</f>
        <v>0.25427450932335016</v>
      </c>
      <c r="L5" s="282">
        <f>L3/Trendy!N5</f>
        <v>0.35402441939667639</v>
      </c>
      <c r="M5" s="282">
        <f>M3/Trendy!O5</f>
        <v>8.9338449325175179E-2</v>
      </c>
      <c r="N5" s="282">
        <f>N3/Trendy!P5</f>
        <v>0.20300458440871846</v>
      </c>
      <c r="O5" s="282">
        <f>O3/Trendy!Q5</f>
        <v>0.11718009964923655</v>
      </c>
      <c r="P5" s="282">
        <f>P3/Trendy!R5</f>
        <v>0.64162914353607392</v>
      </c>
      <c r="Q5" s="282">
        <f>Q3/Trendy!S5</f>
        <v>2.2799018706597268E-2</v>
      </c>
      <c r="R5" s="282">
        <f>R3/Trendy!T5</f>
        <v>7.5682508274260873E-2</v>
      </c>
      <c r="S5" s="282">
        <f>S3/Trendy!U5</f>
        <v>8.1278956238961947E-2</v>
      </c>
    </row>
    <row r="6" spans="2:19" x14ac:dyDescent="0.2">
      <c r="B6" s="269" t="s">
        <v>306</v>
      </c>
      <c r="C6" s="282">
        <f>C3/Výkazy!J75</f>
        <v>0.10174438335708953</v>
      </c>
      <c r="D6" s="282">
        <f>D3/Výkazy!K75</f>
        <v>2.3839178523045946E-2</v>
      </c>
      <c r="E6" s="282">
        <f>E3/Výkazy!L75</f>
        <v>7.2306514217623713E-2</v>
      </c>
      <c r="F6" s="282">
        <f>F3/Výkazy!M75</f>
        <v>0.26014557852597286</v>
      </c>
      <c r="G6" s="282">
        <f>G3/Výkazy!N75</f>
        <v>0.30173711501785094</v>
      </c>
      <c r="H6" s="282">
        <f>H3/Výkazy!O75</f>
        <v>0.34859751917690956</v>
      </c>
      <c r="I6" s="282">
        <f>I3/Výkazy!P75</f>
        <v>0.42579998785056405</v>
      </c>
      <c r="J6" s="282">
        <f>J3/Výkazy!Q75</f>
        <v>0.29607010011869134</v>
      </c>
      <c r="K6" s="282">
        <f>K3/Výkazy!R75</f>
        <v>0.33763038820181179</v>
      </c>
      <c r="L6" s="282">
        <f>L3/Výkazy!S75</f>
        <v>0.50880938869547698</v>
      </c>
      <c r="M6" s="282">
        <f>M3/Výkazy!T75</f>
        <v>0.13032718307625785</v>
      </c>
      <c r="N6" s="282">
        <f>N3/Výkazy!U75</f>
        <v>0.36847621116791607</v>
      </c>
      <c r="O6" s="282">
        <f>O3/Výkazy!V75</f>
        <v>0.16879277967413173</v>
      </c>
      <c r="P6" s="282">
        <f>P3/Výkazy!W75</f>
        <v>0.59352283902420377</v>
      </c>
      <c r="Q6" s="282">
        <f>Q3/Výkazy!X75</f>
        <v>2.189404913313861E-2</v>
      </c>
      <c r="R6" s="282">
        <f>R3/Výkazy!Y75</f>
        <v>8.3599623436824047E-2</v>
      </c>
      <c r="S6" s="282">
        <f>S3/Výkazy!Z75</f>
        <v>7.3061488644764125E-2</v>
      </c>
    </row>
    <row r="7" spans="2:19" x14ac:dyDescent="0.2">
      <c r="B7" s="269" t="s">
        <v>307</v>
      </c>
      <c r="C7" s="282">
        <f>(C3-Výkazy!J46)/Výkazy!J145</f>
        <v>0.51732707441667813</v>
      </c>
      <c r="D7" s="282">
        <f>(D3-Výkazy!K46)/Výkazy!K145</f>
        <v>8.0472425024265049E-2</v>
      </c>
      <c r="E7" s="282">
        <f>(E3-Výkazy!L46)/Výkazy!L145</f>
        <v>0.25640422059133322</v>
      </c>
      <c r="F7" s="282">
        <f>(F3-Výkazy!M46)/Výkazy!M145</f>
        <v>0.73331571962691211</v>
      </c>
      <c r="G7" s="282">
        <f>(G3-Výkazy!N46)/Výkazy!N145</f>
        <v>1.0478157919645259</v>
      </c>
      <c r="H7" s="282">
        <f>(H3-Výkazy!O46)/Výkazy!O145</f>
        <v>0.75528069119945873</v>
      </c>
      <c r="I7" s="282">
        <f>(I3-Výkazy!P46)/Výkazy!P145</f>
        <v>0.80628667934306764</v>
      </c>
      <c r="J7" s="282">
        <f>(J3-Výkazy!Q46)/Výkazy!Q145</f>
        <v>0.5682231174698541</v>
      </c>
      <c r="K7" s="282">
        <f>(K3-Výkazy!R46)/Výkazy!R145</f>
        <v>0.69184330263594151</v>
      </c>
      <c r="L7" s="282">
        <f>(L3-Výkazy!S46)/Výkazy!S145</f>
        <v>1.0205805767350666</v>
      </c>
      <c r="M7" s="282">
        <f>(M3-Výkazy!T46)/Výkazy!T145</f>
        <v>0.22175597173086387</v>
      </c>
      <c r="N7" s="282">
        <f>(N3-Výkazy!U46)/Výkazy!U145</f>
        <v>0.50802933066616573</v>
      </c>
      <c r="O7" s="282">
        <f>(O3-Výkazy!V46)/Výkazy!V145</f>
        <v>0.2085898874229363</v>
      </c>
      <c r="P7" s="282">
        <f>(P3-Výkazy!W46)/Výkazy!W145</f>
        <v>1.2491095861119057</v>
      </c>
      <c r="Q7" s="282">
        <f>(Q3-Výkazy!X46)/Výkazy!X145</f>
        <v>3.5785015789732762E-2</v>
      </c>
      <c r="R7" s="282">
        <f>(R3-Výkazy!Y46)/Výkazy!Y145</f>
        <v>0.13909087835091086</v>
      </c>
      <c r="S7" s="282">
        <f>(S3-Výkazy!Z46)/Výkazy!Z145</f>
        <v>0.10602709494081952</v>
      </c>
    </row>
    <row r="8" spans="2:19" x14ac:dyDescent="0.2">
      <c r="B8" s="269" t="s">
        <v>308</v>
      </c>
      <c r="C8" s="269">
        <f>(C3+Výkazy!J46)/Výkazy!J46</f>
        <v>7496</v>
      </c>
      <c r="D8" s="269">
        <f>(D3+Výkazy!K46)/Výkazy!K46</f>
        <v>24.101091323629529</v>
      </c>
      <c r="E8" s="269">
        <f>(E3+Výkazy!L46)/Výkazy!L46</f>
        <v>141.20741686488981</v>
      </c>
      <c r="F8" s="269">
        <f>(F3+Výkazy!M46)/Výkazy!M46</f>
        <v>233.36669093929808</v>
      </c>
      <c r="G8" s="269">
        <f>(G3+Výkazy!N46)/Výkazy!N46</f>
        <v>85.850531864855867</v>
      </c>
      <c r="H8" s="269">
        <f>(H3+Výkazy!O46)/Výkazy!O46</f>
        <v>109.56769295581432</v>
      </c>
      <c r="I8" s="269">
        <f>(I3+Výkazy!P46)/Výkazy!P46</f>
        <v>180.32199044994474</v>
      </c>
      <c r="J8" s="269">
        <f>(J3+Výkazy!Q46)/Výkazy!Q46</f>
        <v>105.92044579470584</v>
      </c>
      <c r="K8" s="269">
        <f>(K3+Výkazy!R46)/Výkazy!R46</f>
        <v>124.41188089499423</v>
      </c>
      <c r="L8" s="269">
        <f>(L3+Výkazy!S46)/Výkazy!S46</f>
        <v>215.18974192459305</v>
      </c>
      <c r="M8" s="269">
        <f>(M3+Výkazy!T46)/Výkazy!T46</f>
        <v>76.767031367632512</v>
      </c>
      <c r="N8" s="269">
        <f>(N3+Výkazy!U46)/Výkazy!U46</f>
        <v>215.90536407987358</v>
      </c>
      <c r="O8" s="269">
        <f>(O3+Výkazy!V46)/Výkazy!V46</f>
        <v>166.56090460846545</v>
      </c>
      <c r="P8" s="269">
        <f>(P3+Výkazy!W46)/Výkazy!W46</f>
        <v>613.59843871465512</v>
      </c>
      <c r="Q8" s="269">
        <f>(Q3+Výkazy!X46)/Výkazy!X46</f>
        <v>5.9245385877884997</v>
      </c>
      <c r="R8" s="269">
        <f>(R3+Výkazy!Y46)/Výkazy!Y46</f>
        <v>23.630366135974636</v>
      </c>
      <c r="S8" s="269">
        <f>(S3+Výkazy!Z46)/Výkazy!Z46</f>
        <v>27.646390145139808</v>
      </c>
    </row>
    <row r="9" spans="2:19" x14ac:dyDescent="0.2">
      <c r="B9" s="269" t="s">
        <v>309</v>
      </c>
      <c r="C9" s="269">
        <f>C3/Trendy!E14</f>
        <v>0.16648526177836026</v>
      </c>
      <c r="D9" s="269">
        <f>D3/Trendy!F14</f>
        <v>4.0175404219017094E-2</v>
      </c>
      <c r="E9" s="269">
        <f>E3/Trendy!G14</f>
        <v>0.11004301013279115</v>
      </c>
      <c r="F9" s="269">
        <f>F3/Trendy!H14</f>
        <v>0.42613018205930303</v>
      </c>
      <c r="G9" s="269">
        <f>G3/Trendy!I14</f>
        <v>0.6318276629674936</v>
      </c>
      <c r="H9" s="269">
        <f>H3/Trendy!J14</f>
        <v>0.71150726085898974</v>
      </c>
      <c r="I9" s="269">
        <f>I3/Trendy!K14</f>
        <v>0.9152257296536388</v>
      </c>
      <c r="J9" s="269">
        <f>J3/Trendy!L14</f>
        <v>0.87408647756212987</v>
      </c>
      <c r="K9" s="269">
        <f>K3/Trendy!M14</f>
        <v>1.338304683664209</v>
      </c>
      <c r="L9" s="269">
        <f>L3/Trendy!N14</f>
        <v>1.494798683900058</v>
      </c>
      <c r="M9" s="269">
        <f>M3/Trendy!O14</f>
        <v>0.53772587459832777</v>
      </c>
      <c r="N9" s="269">
        <f>N3/Trendy!P14</f>
        <v>2.1306686386111484</v>
      </c>
      <c r="O9" s="269">
        <f>O3/Trendy!Q14</f>
        <v>1.0977648209551265</v>
      </c>
      <c r="P9" s="269">
        <f>P3/Trendy!R14</f>
        <v>4.2100887396654505</v>
      </c>
      <c r="Q9" s="269">
        <f>Q3/Trendy!S14</f>
        <v>0.13852407171187547</v>
      </c>
      <c r="R9" s="269">
        <f>R3/Trendy!T14</f>
        <v>0.95375198999418609</v>
      </c>
      <c r="S9" s="269">
        <f>S3/Trendy!U14</f>
        <v>1.3382633284822527</v>
      </c>
    </row>
    <row r="11" spans="2:19" x14ac:dyDescent="0.2">
      <c r="B11" s="267" t="s">
        <v>283</v>
      </c>
      <c r="C11" s="268">
        <f>Výkazy!J$3</f>
        <v>2008</v>
      </c>
      <c r="D11" s="268">
        <f>Výkazy!K$3</f>
        <v>2009</v>
      </c>
      <c r="E11" s="268">
        <f>Výkazy!L$3</f>
        <v>2010</v>
      </c>
      <c r="F11" s="268">
        <f>Výkazy!M$3</f>
        <v>2011</v>
      </c>
      <c r="G11" s="268">
        <f>Výkazy!N$3</f>
        <v>2012</v>
      </c>
      <c r="H11" s="268">
        <f>Výkazy!O$3</f>
        <v>2013</v>
      </c>
      <c r="I11" s="268">
        <f>Výkazy!P$3</f>
        <v>2014</v>
      </c>
      <c r="J11" s="268">
        <f>Výkazy!Q$3</f>
        <v>2015</v>
      </c>
      <c r="K11" s="268">
        <f>Výkazy!R$3</f>
        <v>2016</v>
      </c>
      <c r="L11" s="268">
        <f>Výkazy!S$3</f>
        <v>2017</v>
      </c>
      <c r="M11" s="268">
        <f>Výkazy!T$3</f>
        <v>2018</v>
      </c>
      <c r="N11" s="268">
        <f>Výkazy!U$3</f>
        <v>2019</v>
      </c>
      <c r="O11" s="268">
        <f>Výkazy!V$3</f>
        <v>2020</v>
      </c>
      <c r="P11" s="268">
        <f>Výkazy!W$3</f>
        <v>2021</v>
      </c>
      <c r="Q11" s="268">
        <f>Výkazy!X$3</f>
        <v>2022</v>
      </c>
      <c r="R11" s="268">
        <f>Výkazy!Y$3</f>
        <v>2023</v>
      </c>
      <c r="S11" s="268">
        <f>Výkazy!Z$3</f>
        <v>2024</v>
      </c>
    </row>
    <row r="12" spans="2:19" x14ac:dyDescent="0.2">
      <c r="B12" s="269" t="s">
        <v>305</v>
      </c>
      <c r="C12" s="282">
        <f t="shared" ref="C12:G14" si="0">C5</f>
        <v>5.1180672211524017E-2</v>
      </c>
      <c r="D12" s="282">
        <f t="shared" si="0"/>
        <v>1.1472402817554119E-2</v>
      </c>
      <c r="E12" s="282">
        <f t="shared" si="0"/>
        <v>2.8815664370142914E-2</v>
      </c>
      <c r="F12" s="282">
        <f t="shared" si="0"/>
        <v>8.494479814226466E-2</v>
      </c>
      <c r="G12" s="282">
        <f t="shared" si="0"/>
        <v>0.1186407698839267</v>
      </c>
      <c r="H12" s="282">
        <f t="shared" ref="H12:I12" si="1">H5</f>
        <v>0.16016401891585774</v>
      </c>
      <c r="I12" s="282">
        <f t="shared" si="1"/>
        <v>0.20105350045080286</v>
      </c>
      <c r="J12" s="282">
        <f t="shared" ref="J12:K12" si="2">J5</f>
        <v>0.17710471717663659</v>
      </c>
      <c r="K12" s="282">
        <f t="shared" si="2"/>
        <v>0.25427450932335016</v>
      </c>
      <c r="L12" s="282">
        <f t="shared" ref="L12:M12" si="3">L5</f>
        <v>0.35402441939667639</v>
      </c>
      <c r="M12" s="282">
        <f t="shared" si="3"/>
        <v>8.9338449325175179E-2</v>
      </c>
      <c r="N12" s="282">
        <f t="shared" ref="N12:O12" si="4">N5</f>
        <v>0.20300458440871846</v>
      </c>
      <c r="O12" s="282">
        <f t="shared" si="4"/>
        <v>0.11718009964923655</v>
      </c>
      <c r="P12" s="282">
        <f t="shared" ref="P12:Q12" si="5">P5</f>
        <v>0.64162914353607392</v>
      </c>
      <c r="Q12" s="282">
        <f t="shared" si="5"/>
        <v>2.2799018706597268E-2</v>
      </c>
      <c r="R12" s="282">
        <f t="shared" ref="R12:S12" si="6">R5</f>
        <v>7.5682508274260873E-2</v>
      </c>
      <c r="S12" s="282">
        <f t="shared" si="6"/>
        <v>8.1278956238961947E-2</v>
      </c>
    </row>
    <row r="13" spans="2:19" x14ac:dyDescent="0.2">
      <c r="B13" s="269" t="s">
        <v>306</v>
      </c>
      <c r="C13" s="282">
        <f t="shared" si="0"/>
        <v>0.10174438335708953</v>
      </c>
      <c r="D13" s="282">
        <f t="shared" si="0"/>
        <v>2.3839178523045946E-2</v>
      </c>
      <c r="E13" s="282">
        <f t="shared" si="0"/>
        <v>7.2306514217623713E-2</v>
      </c>
      <c r="F13" s="282">
        <f t="shared" si="0"/>
        <v>0.26014557852597286</v>
      </c>
      <c r="G13" s="282">
        <f t="shared" si="0"/>
        <v>0.30173711501785094</v>
      </c>
      <c r="H13" s="282">
        <f t="shared" ref="H13:I13" si="7">H6</f>
        <v>0.34859751917690956</v>
      </c>
      <c r="I13" s="282">
        <f t="shared" si="7"/>
        <v>0.42579998785056405</v>
      </c>
      <c r="J13" s="282">
        <f t="shared" ref="J13:K13" si="8">J6</f>
        <v>0.29607010011869134</v>
      </c>
      <c r="K13" s="282">
        <f t="shared" si="8"/>
        <v>0.33763038820181179</v>
      </c>
      <c r="L13" s="282">
        <f t="shared" ref="L13:M13" si="9">L6</f>
        <v>0.50880938869547698</v>
      </c>
      <c r="M13" s="282">
        <f t="shared" si="9"/>
        <v>0.13032718307625785</v>
      </c>
      <c r="N13" s="282">
        <f t="shared" ref="N13:O13" si="10">N6</f>
        <v>0.36847621116791607</v>
      </c>
      <c r="O13" s="282">
        <f t="shared" si="10"/>
        <v>0.16879277967413173</v>
      </c>
      <c r="P13" s="282">
        <f t="shared" ref="P13:Q13" si="11">P6</f>
        <v>0.59352283902420377</v>
      </c>
      <c r="Q13" s="282">
        <f t="shared" si="11"/>
        <v>2.189404913313861E-2</v>
      </c>
      <c r="R13" s="282">
        <f t="shared" ref="R13:S13" si="12">R6</f>
        <v>8.3599623436824047E-2</v>
      </c>
      <c r="S13" s="282">
        <f t="shared" si="12"/>
        <v>7.3061488644764125E-2</v>
      </c>
    </row>
    <row r="14" spans="2:19" x14ac:dyDescent="0.2">
      <c r="B14" s="269" t="s">
        <v>307</v>
      </c>
      <c r="C14" s="282">
        <f t="shared" si="0"/>
        <v>0.51732707441667813</v>
      </c>
      <c r="D14" s="282">
        <f t="shared" si="0"/>
        <v>8.0472425024265049E-2</v>
      </c>
      <c r="E14" s="282">
        <f t="shared" si="0"/>
        <v>0.25640422059133322</v>
      </c>
      <c r="F14" s="282">
        <f t="shared" si="0"/>
        <v>0.73331571962691211</v>
      </c>
      <c r="G14" s="282">
        <f t="shared" si="0"/>
        <v>1.0478157919645259</v>
      </c>
      <c r="H14" s="282">
        <f t="shared" ref="H14:I14" si="13">H7</f>
        <v>0.75528069119945873</v>
      </c>
      <c r="I14" s="282">
        <f t="shared" si="13"/>
        <v>0.80628667934306764</v>
      </c>
      <c r="J14" s="282">
        <f t="shared" ref="J14:K14" si="14">J7</f>
        <v>0.5682231174698541</v>
      </c>
      <c r="K14" s="282">
        <f t="shared" si="14"/>
        <v>0.69184330263594151</v>
      </c>
      <c r="L14" s="282">
        <f t="shared" ref="L14:M14" si="15">L7</f>
        <v>1.0205805767350666</v>
      </c>
      <c r="M14" s="282">
        <f t="shared" si="15"/>
        <v>0.22175597173086387</v>
      </c>
      <c r="N14" s="282">
        <f t="shared" ref="N14:O14" si="16">N7</f>
        <v>0.50802933066616573</v>
      </c>
      <c r="O14" s="282">
        <f t="shared" si="16"/>
        <v>0.2085898874229363</v>
      </c>
      <c r="P14" s="282">
        <f t="shared" ref="P14:Q14" si="17">P7</f>
        <v>1.2491095861119057</v>
      </c>
      <c r="Q14" s="282">
        <f t="shared" si="17"/>
        <v>3.5785015789732762E-2</v>
      </c>
      <c r="R14" s="282">
        <f t="shared" ref="R14:S14" si="18">R7</f>
        <v>0.13909087835091086</v>
      </c>
      <c r="S14" s="282">
        <f t="shared" si="18"/>
        <v>0.10602709494081952</v>
      </c>
    </row>
    <row r="31" ht="84" customHeight="1" x14ac:dyDescent="0.2"/>
    <row r="33" spans="2:19" x14ac:dyDescent="0.2">
      <c r="B33" s="267" t="s">
        <v>576</v>
      </c>
      <c r="C33" s="268">
        <f>Výkazy!J$3</f>
        <v>2008</v>
      </c>
      <c r="D33" s="268">
        <f>Výkazy!K$3</f>
        <v>2009</v>
      </c>
      <c r="E33" s="268">
        <f>Výkazy!L$3</f>
        <v>2010</v>
      </c>
      <c r="F33" s="268">
        <f>Výkazy!M$3</f>
        <v>2011</v>
      </c>
      <c r="G33" s="268">
        <f>Výkazy!N$3</f>
        <v>2012</v>
      </c>
      <c r="H33" s="268">
        <f>Výkazy!O$3</f>
        <v>2013</v>
      </c>
      <c r="I33" s="268">
        <f>Výkazy!P$3</f>
        <v>2014</v>
      </c>
      <c r="J33" s="268">
        <f>Výkazy!Q$3</f>
        <v>2015</v>
      </c>
      <c r="K33" s="268">
        <f>Výkazy!R$3</f>
        <v>2016</v>
      </c>
      <c r="L33" s="268">
        <f>Výkazy!S$3</f>
        <v>2017</v>
      </c>
      <c r="M33" s="268">
        <f>Výkazy!T$3</f>
        <v>2018</v>
      </c>
      <c r="N33" s="268">
        <f>Výkazy!U$3</f>
        <v>2019</v>
      </c>
      <c r="O33" s="268">
        <f>Výkazy!V$3</f>
        <v>2020</v>
      </c>
      <c r="P33" s="268">
        <f>Výkazy!W$3</f>
        <v>2021</v>
      </c>
      <c r="Q33" s="268">
        <f>Výkazy!X$3</f>
        <v>2022</v>
      </c>
      <c r="R33" s="268">
        <f>Výkazy!Y$3</f>
        <v>2023</v>
      </c>
      <c r="S33" s="268">
        <f>Výkazy!Z$3</f>
        <v>2024</v>
      </c>
    </row>
    <row r="34" spans="2:19" x14ac:dyDescent="0.2">
      <c r="B34" s="269" t="s">
        <v>121</v>
      </c>
      <c r="C34" s="270">
        <f>Výkazy!J222</f>
        <v>7495</v>
      </c>
      <c r="D34" s="270">
        <f>Výkazy!K222</f>
        <v>2077.1057499999943</v>
      </c>
      <c r="E34" s="270">
        <f>Výkazy!L222</f>
        <v>6471.3981099999983</v>
      </c>
      <c r="F34" s="270">
        <f>Výkazy!M222</f>
        <v>26517.756479999982</v>
      </c>
      <c r="G34" s="270">
        <f>Výkazy!N222</f>
        <v>41852.151499999949</v>
      </c>
      <c r="H34" s="270">
        <f>Výkazy!O222</f>
        <v>63396.530069999921</v>
      </c>
      <c r="I34" s="270">
        <f>Výkazy!P222</f>
        <v>83759.971170000048</v>
      </c>
      <c r="J34" s="270">
        <f>Výkazy!Q222</f>
        <v>78462.87940999995</v>
      </c>
      <c r="K34" s="270">
        <f>Výkazy!R222</f>
        <v>103262.95006999995</v>
      </c>
      <c r="L34" s="270">
        <f>Výkazy!S222</f>
        <v>142694.50405999998</v>
      </c>
      <c r="M34" s="270">
        <f>Výkazy!T222</f>
        <v>34473.388589999973</v>
      </c>
      <c r="N34" s="270">
        <f>Výkazy!U222</f>
        <v>79157.07272000004</v>
      </c>
      <c r="O34" s="270">
        <f>Výkazy!V222</f>
        <v>31699.986139999983</v>
      </c>
      <c r="P34" s="270">
        <f>Výkazy!W222</f>
        <v>189032.71025</v>
      </c>
      <c r="Q34" s="270">
        <f>Výkazy!X222</f>
        <v>6793.0552299999872</v>
      </c>
      <c r="R34" s="270">
        <f>Výkazy!Y222</f>
        <v>21671.363410000005</v>
      </c>
      <c r="S34" s="270">
        <f>Výkazy!Z222</f>
        <v>16973.074769999977</v>
      </c>
    </row>
    <row r="35" spans="2:19" x14ac:dyDescent="0.2">
      <c r="B35" s="269" t="s">
        <v>321</v>
      </c>
      <c r="C35" s="270">
        <f>Výkazy!J226</f>
        <v>-4841</v>
      </c>
      <c r="D35" s="270">
        <f>Výkazy!K226</f>
        <v>-8405.2617200000004</v>
      </c>
      <c r="E35" s="270">
        <f>Výkazy!L226</f>
        <v>-5885.0899800000007</v>
      </c>
      <c r="F35" s="270">
        <f>Výkazy!M226</f>
        <v>-22882.66201</v>
      </c>
      <c r="G35" s="270">
        <f>Výkazy!N226</f>
        <v>-59962.080280000002</v>
      </c>
      <c r="H35" s="270">
        <f>Výkazy!O226</f>
        <v>-72786.108330000003</v>
      </c>
      <c r="I35" s="270">
        <f>Výkazy!P226</f>
        <v>-72938.285349999991</v>
      </c>
      <c r="J35" s="270">
        <f>Výkazy!Q226</f>
        <v>-120465.86315999998</v>
      </c>
      <c r="K35" s="270">
        <f>Výkazy!R226</f>
        <v>-142810.09508000006</v>
      </c>
      <c r="L35" s="270">
        <f>Výkazy!S226</f>
        <v>-40023.946919999988</v>
      </c>
      <c r="M35" s="270">
        <f>Výkazy!T226</f>
        <v>-51568.136210000011</v>
      </c>
      <c r="N35" s="270">
        <f>Výkazy!U226</f>
        <v>-43600.757589999987</v>
      </c>
      <c r="O35" s="270">
        <f>Výkazy!V226</f>
        <v>-23996.795820000003</v>
      </c>
      <c r="P35" s="270">
        <f>Výkazy!W226</f>
        <v>-181027.21451000002</v>
      </c>
      <c r="Q35" s="270">
        <f>Výkazy!X226</f>
        <v>-15288.286679999985</v>
      </c>
      <c r="R35" s="270">
        <f>Výkazy!Y226</f>
        <v>-3583.1427199999994</v>
      </c>
      <c r="S35" s="270">
        <f>Výkazy!Z226</f>
        <v>-15256.813610000019</v>
      </c>
    </row>
    <row r="36" spans="2:19" x14ac:dyDescent="0.2">
      <c r="B36" s="269" t="s">
        <v>322</v>
      </c>
      <c r="C36" s="270">
        <f>Výkazy!J234</f>
        <v>134</v>
      </c>
      <c r="D36" s="270">
        <f>Výkazy!K234</f>
        <v>5991.2037300000002</v>
      </c>
      <c r="E36" s="270">
        <f>Výkazy!L234</f>
        <v>-112.11491000000014</v>
      </c>
      <c r="F36" s="270">
        <f>Výkazy!M234</f>
        <v>-1892.6812200000002</v>
      </c>
      <c r="G36" s="270">
        <f>Výkazy!N234</f>
        <v>29348.498009999999</v>
      </c>
      <c r="H36" s="270">
        <f>Výkazy!O234</f>
        <v>2596.638289999999</v>
      </c>
      <c r="I36" s="270">
        <f>Výkazy!P234</f>
        <v>-7736.6702700000005</v>
      </c>
      <c r="J36" s="270">
        <f>Výkazy!Q234</f>
        <v>42638.737959999999</v>
      </c>
      <c r="K36" s="270">
        <f>Výkazy!R234</f>
        <v>42122.99742</v>
      </c>
      <c r="L36" s="270">
        <f>Výkazy!S234</f>
        <v>-53363.843010000004</v>
      </c>
      <c r="M36" s="270">
        <f>Výkazy!T234</f>
        <v>-23965.481370000001</v>
      </c>
      <c r="N36" s="270">
        <f>Výkazy!U234</f>
        <v>-21241.84446</v>
      </c>
      <c r="O36" s="270">
        <f>Výkazy!V234</f>
        <v>-10762.22134</v>
      </c>
      <c r="P36" s="270">
        <f>Výkazy!W234</f>
        <v>-5270.01883</v>
      </c>
      <c r="Q36" s="270">
        <f>Výkazy!X234</f>
        <v>7976.9820399999999</v>
      </c>
      <c r="R36" s="270">
        <f>Výkazy!Y234</f>
        <v>-2231.2765099999997</v>
      </c>
      <c r="S36" s="270">
        <f>Výkazy!Z234</f>
        <v>-2280.8939500000001</v>
      </c>
    </row>
  </sheetData>
  <phoneticPr fontId="0" type="noConversion"/>
  <printOptions gridLinesSet="0"/>
  <pageMargins left="0.59055118110236227" right="0" top="0.39370078740157483" bottom="0.39370078740157483" header="0.51181102362204722" footer="0.31496062992125984"/>
  <pageSetup paperSize="9" orientation="portrait" horizontalDpi="300" verticalDpi="300" r:id="rId1"/>
  <headerFooter alignWithMargins="0">
    <oddFooter>&amp;C&amp;F / &amp;D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syncVertical="1" syncRef="A1" transitionEvaluation="1" transitionEntry="1" codeName="List11"/>
  <dimension ref="B2:U45"/>
  <sheetViews>
    <sheetView showGridLines="0" zoomScale="150" zoomScaleNormal="150" workbookViewId="0"/>
  </sheetViews>
  <sheetFormatPr defaultColWidth="9.83203125" defaultRowHeight="11.25" outlineLevelCol="1" x14ac:dyDescent="0.2"/>
  <cols>
    <col min="1" max="1" width="2.5" customWidth="1"/>
    <col min="2" max="2" width="27.83203125" customWidth="1"/>
    <col min="3" max="3" width="6.33203125" customWidth="1"/>
    <col min="4" max="4" width="5.1640625" hidden="1" customWidth="1" outlineLevel="1"/>
    <col min="5" max="5" width="8.1640625" hidden="1" customWidth="1" outlineLevel="1"/>
    <col min="6" max="6" width="5.6640625" hidden="1" customWidth="1" outlineLevel="1"/>
    <col min="7" max="7" width="5.1640625" hidden="1" customWidth="1" outlineLevel="1"/>
    <col min="8" max="8" width="5.6640625" hidden="1" customWidth="1" outlineLevel="1"/>
    <col min="9" max="9" width="5.1640625" hidden="1" customWidth="1" outlineLevel="1"/>
    <col min="10" max="10" width="5.1640625" bestFit="1" customWidth="1" collapsed="1"/>
    <col min="11" max="21" width="5.1640625" bestFit="1" customWidth="1"/>
    <col min="22" max="30" width="9.83203125" customWidth="1"/>
    <col min="38" max="38" width="3.83203125" customWidth="1"/>
    <col min="50" max="50" width="3.83203125" customWidth="1"/>
    <col min="117" max="117" width="4.83203125" customWidth="1"/>
  </cols>
  <sheetData>
    <row r="2" spans="2:21" x14ac:dyDescent="0.2">
      <c r="B2" s="301" t="s">
        <v>256</v>
      </c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</row>
    <row r="3" spans="2:21" x14ac:dyDescent="0.2">
      <c r="B3" s="267" t="s">
        <v>145</v>
      </c>
      <c r="C3" s="302" t="s">
        <v>146</v>
      </c>
      <c r="D3" s="268">
        <f>Výkazy!I$3</f>
        <v>2007</v>
      </c>
      <c r="E3" s="268">
        <f>Výkazy!J$3</f>
        <v>2008</v>
      </c>
      <c r="F3" s="268">
        <f>Výkazy!K$3</f>
        <v>2009</v>
      </c>
      <c r="G3" s="268">
        <f>Výkazy!L$3</f>
        <v>2010</v>
      </c>
      <c r="H3" s="268">
        <f>Výkazy!M$3</f>
        <v>2011</v>
      </c>
      <c r="I3" s="268">
        <f>Výkazy!N$3</f>
        <v>2012</v>
      </c>
      <c r="J3" s="268">
        <f>Výkazy!O$3</f>
        <v>2013</v>
      </c>
      <c r="K3" s="268">
        <f>Výkazy!P$3</f>
        <v>2014</v>
      </c>
      <c r="L3" s="268">
        <f>Výkazy!Q$3</f>
        <v>2015</v>
      </c>
      <c r="M3" s="268">
        <f>Výkazy!R$3</f>
        <v>2016</v>
      </c>
      <c r="N3" s="268">
        <f>Výkazy!S$3</f>
        <v>2017</v>
      </c>
      <c r="O3" s="268">
        <f>Výkazy!T$3</f>
        <v>2018</v>
      </c>
      <c r="P3" s="268">
        <f>Výkazy!U$3</f>
        <v>2019</v>
      </c>
      <c r="Q3" s="268">
        <f>Výkazy!V$3</f>
        <v>2020</v>
      </c>
      <c r="R3" s="268">
        <f>Výkazy!W$3</f>
        <v>2021</v>
      </c>
      <c r="S3" s="268">
        <f>Výkazy!X$3</f>
        <v>2022</v>
      </c>
      <c r="T3" s="268">
        <f>Výkazy!Y$3</f>
        <v>2023</v>
      </c>
      <c r="U3" s="268">
        <f>Výkazy!Z$3</f>
        <v>2024</v>
      </c>
    </row>
    <row r="4" spans="2:21" x14ac:dyDescent="0.2">
      <c r="B4" s="269" t="s">
        <v>147</v>
      </c>
      <c r="C4" s="303">
        <v>1.5</v>
      </c>
      <c r="D4" s="296">
        <f>IF(Trendy!D4=0,"---",Trendy!D11/Trendy!D4*$C4)</f>
        <v>0</v>
      </c>
      <c r="E4" s="296">
        <f>IF(Trendy!E4=0,"---",Trendy!E11/Trendy!E4*$C4)</f>
        <v>0.12432619679278122</v>
      </c>
      <c r="F4" s="296">
        <f>IF(Trendy!F4=0,"---",Trendy!F11/Trendy!F4*$C4)</f>
        <v>0.1021039573516047</v>
      </c>
      <c r="G4" s="296">
        <f>IF(Trendy!G4=0,"---",Trendy!G11/Trendy!G4*$C4)</f>
        <v>0.10251125351252185</v>
      </c>
      <c r="H4" s="296">
        <f>IF(Trendy!H4=0,"---",Trendy!H11/Trendy!H4*$C4)</f>
        <v>0.1385662486312372</v>
      </c>
      <c r="I4" s="296">
        <f>IF(Trendy!I4=0,"---",Trendy!I11/Trendy!I4*$C4)</f>
        <v>0.25583325141638114</v>
      </c>
      <c r="J4" s="296">
        <f>IF(Trendy!J4=0,"---",Trendy!J11/Trendy!J4*$C4)</f>
        <v>0.15397997598765834</v>
      </c>
      <c r="K4" s="296">
        <f>IF(Trendy!K4=0,"---",Trendy!K11/Trendy!K4*$C4)</f>
        <v>0.21232079021817021</v>
      </c>
      <c r="L4" s="296">
        <f>IF(Trendy!L4=0,"---",Trendy!L11/Trendy!L4*$C4)</f>
        <v>0.16200046732782314</v>
      </c>
      <c r="M4" s="296">
        <f>IF(Trendy!M4=0,"---",Trendy!M11/Trendy!M4*$C4)</f>
        <v>0.15618174017155723</v>
      </c>
      <c r="N4" s="296">
        <f>IF(Trendy!N4=0,"---",Trendy!N11/Trendy!N4*$C4)</f>
        <v>0.69155012657753023</v>
      </c>
      <c r="O4" s="296">
        <f>IF(Trendy!O4=0,"---",Trendy!O11/Trendy!O4*$C4)</f>
        <v>-0.22732591008727876</v>
      </c>
      <c r="P4" s="296">
        <f>IF(Trendy!P4=0,"---",Trendy!P11/Trendy!P4*$C4)</f>
        <v>1.0143047058325338</v>
      </c>
      <c r="Q4" s="296">
        <f>IF(Trendy!Q4=0,"---",Trendy!Q11/Trendy!Q4*$C4)</f>
        <v>1.3507928493910084</v>
      </c>
      <c r="R4" s="296">
        <f>IF(Trendy!R4=0,"---",Trendy!R11/Trendy!R4*$C4)</f>
        <v>0.27813440662592387</v>
      </c>
      <c r="S4" s="296">
        <f>IF(Trendy!S4=0,"---",Trendy!S11/Trendy!S4*$C4)</f>
        <v>0.27460642918332706</v>
      </c>
      <c r="T4" s="296">
        <f>IF(Trendy!T4=0,"---",Trendy!T11/Trendy!T4*$C4)</f>
        <v>0.58021498431732599</v>
      </c>
      <c r="U4" s="296">
        <f>IF(Trendy!U4=0,"---",Trendy!U11/Trendy!U4*$C4)</f>
        <v>0.63534422039867611</v>
      </c>
    </row>
    <row r="5" spans="2:21" x14ac:dyDescent="0.2">
      <c r="B5" s="269" t="s">
        <v>148</v>
      </c>
      <c r="C5" s="303">
        <v>0.08</v>
      </c>
      <c r="D5" s="296">
        <f>IF(Trendy!D4=0,"---",Výkazy!I75/Trendy!D4*$C5)</f>
        <v>8.8079836050966767E-2</v>
      </c>
      <c r="E5" s="296">
        <f>IF(Trendy!E4=0,"---",Výkazy!J75/Trendy!E4*$C5)</f>
        <v>9.9582622213961025E-2</v>
      </c>
      <c r="F5" s="296">
        <f>IF(Trendy!F4=0,"---",Výkazy!K75/Trendy!F4*$C5)</f>
        <v>0.11243234238770952</v>
      </c>
      <c r="G5" s="296">
        <f>IF(Trendy!G4=0,"---",Výkazy!L75/Trendy!G4*$C5)</f>
        <v>0.11129395193846754</v>
      </c>
      <c r="H5" s="296">
        <f>IF(Trendy!H4=0,"---",Výkazy!M75/Trendy!H4*$C5)</f>
        <v>0.12381477244056863</v>
      </c>
      <c r="I5" s="296">
        <f>IF(Trendy!I4=0,"---",Výkazy!N75/Trendy!I4*$C5)</f>
        <v>0.11183381388424277</v>
      </c>
      <c r="J5" s="296">
        <f>IF(Trendy!J4=0,"---",Výkazy!O75/Trendy!J4*$C5)</f>
        <v>0.14743537647068611</v>
      </c>
      <c r="K5" s="296">
        <f>IF(Trendy!K4=0,"---",Výkazy!P75/Trendy!K4*$C5)</f>
        <v>0.16856204599670654</v>
      </c>
      <c r="L5" s="296">
        <f>IF(Trendy!L4=0,"---",Výkazy!Q75/Trendy!L4*$C5)</f>
        <v>0.16531637709121394</v>
      </c>
      <c r="M5" s="296">
        <f>IF(Trendy!M4=0,"---",Výkazy!R75/Trendy!M4*$C5)</f>
        <v>0.15509150839922303</v>
      </c>
      <c r="N5" s="296">
        <f>IF(Trendy!N4=0,"---",Výkazy!S75/Trendy!N4*$C5)</f>
        <v>0.15930937608699758</v>
      </c>
      <c r="O5" s="296">
        <f>IF(Trendy!O4=0,"---",Výkazy!T75/Trendy!O4*$C5)</f>
        <v>0.20039289901056845</v>
      </c>
      <c r="P5" s="296">
        <f>IF(Trendy!P4=0,"---",Výkazy!U75/Trendy!P4*$C5)</f>
        <v>0.28920729330580058</v>
      </c>
      <c r="Q5" s="296">
        <f>IF(Trendy!Q4=0,"---",Výkazy!V75/Trendy!Q4*$C5)</f>
        <v>0.42082810304193352</v>
      </c>
      <c r="R5" s="296">
        <f>IF(Trendy!R4=0,"---",Výkazy!W75/Trendy!R4*$C5)</f>
        <v>0.15317206931028365</v>
      </c>
      <c r="S5" s="296">
        <f>IF(Trendy!S4=0,"---",Výkazy!X75/Trendy!S4*$C5)</f>
        <v>0.15742889663003054</v>
      </c>
      <c r="T5" s="296">
        <f>IF(Trendy!T4=0,"---",Výkazy!Y75/Trendy!T4*$C5)</f>
        <v>0.19079225560922389</v>
      </c>
      <c r="U5" s="296">
        <f>IF(Trendy!U4=0,"---",Výkazy!Z75/Trendy!U4*$C5)</f>
        <v>0.23754285367576222</v>
      </c>
    </row>
    <row r="6" spans="2:21" x14ac:dyDescent="0.2">
      <c r="B6" s="269" t="s">
        <v>149</v>
      </c>
      <c r="C6" s="303">
        <v>10</v>
      </c>
      <c r="D6" s="296">
        <f>IF(Výkazy!I75=0,"---",Trendy!D9/Výkazy!I75*$C6)</f>
        <v>2.731355966495367E-2</v>
      </c>
      <c r="E6" s="296">
        <f>IF(Výkazy!J75=0,"---",Trendy!E9/Výkazy!J75*$C6)</f>
        <v>1.7180479196361909</v>
      </c>
      <c r="F6" s="296">
        <f>IF(Výkazy!K75=0,"---",Trendy!F9/Výkazy!K75*$C6)</f>
        <v>1.4682120447629419</v>
      </c>
      <c r="G6" s="296">
        <f>IF(Výkazy!L75=0,"---",Trendy!G9/Výkazy!L75*$C6)</f>
        <v>4.8907612453090714E-2</v>
      </c>
      <c r="H6" s="296">
        <f>IF(Výkazy!M75=0,"---",Trendy!H9/Výkazy!M75*$C6)</f>
        <v>1.3371935841123941</v>
      </c>
      <c r="I6" s="296">
        <f>IF(Výkazy!N75=0,"---",Trendy!I9/Výkazy!N75*$C6)</f>
        <v>0.30936662916758234</v>
      </c>
      <c r="J6" s="296">
        <f>IF(Výkazy!O75=0,"---",Trendy!J9/Výkazy!O75*$C6)</f>
        <v>1.2026034397079775</v>
      </c>
      <c r="K6" s="296">
        <f>IF(Výkazy!P75=0,"---",Trendy!K9/Výkazy!P75*$C6)</f>
        <v>1.2684902268445306</v>
      </c>
      <c r="L6" s="296">
        <f>IF(Výkazy!Q75=0,"---",Trendy!L9/Výkazy!Q75*$C6)</f>
        <v>1.2803246880921009</v>
      </c>
      <c r="M6" s="296">
        <f>IF(Výkazy!R75=0,"---",Trendy!M9/Výkazy!R75*$C6)</f>
        <v>0.45605308187568494</v>
      </c>
      <c r="N6" s="296">
        <f>IF(Výkazy!S75=0,"---",Trendy!N9/Výkazy!S75*$C6)</f>
        <v>0.22916502506547115</v>
      </c>
      <c r="O6" s="296">
        <f>IF(Výkazy!T75=0,"---",Trendy!O9/Výkazy!T75*$C6)</f>
        <v>0.67012750422940071</v>
      </c>
      <c r="P6" s="296">
        <f>IF(Výkazy!U75=0,"---",Trendy!P9/Výkazy!U75*$C6)</f>
        <v>0.98047673454302919</v>
      </c>
      <c r="Q6" s="296">
        <f>IF(Výkazy!V75=0,"---",Trendy!Q9/Výkazy!V75*$C6)</f>
        <v>5.5367834343670146E-2</v>
      </c>
      <c r="R6" s="296">
        <f>IF(Výkazy!W75=0,"---",Trendy!R9/Výkazy!W75*$C6)</f>
        <v>4.1003224581062049E-3</v>
      </c>
      <c r="S6" s="296">
        <f>IF(Výkazy!X75=0,"---",Trendy!S9/Výkazy!X75*$C6)</f>
        <v>9.6910978942045829E-3</v>
      </c>
      <c r="T6" s="296">
        <f>IF(Výkazy!Y75=0,"---",Trendy!T9/Výkazy!Y75*$C6)</f>
        <v>0.22065004245006289</v>
      </c>
      <c r="U6" s="296">
        <f>IF(Výkazy!Z75=0,"---",Trendy!U9/Výkazy!Z75*$C6)</f>
        <v>0.72820656345413226</v>
      </c>
    </row>
    <row r="7" spans="2:21" x14ac:dyDescent="0.2">
      <c r="B7" s="269" t="s">
        <v>150</v>
      </c>
      <c r="C7" s="303">
        <v>5</v>
      </c>
      <c r="D7" s="296">
        <f>IF(Trendy!D5=0,"---",Trendy!D9/Trendy!D5*$C7)</f>
        <v>6.6388000983525937E-3</v>
      </c>
      <c r="E7" s="296">
        <f>IF(Trendy!E5=0,"---",Trendy!E9/Trendy!E5*$C7)</f>
        <v>0.43211646931891123</v>
      </c>
      <c r="F7" s="296">
        <f>IF(Trendy!F5=0,"---",Trendy!F9/Trendy!F5*$C7)</f>
        <v>0.353282307585008</v>
      </c>
      <c r="G7" s="296">
        <f>IF(Trendy!G5=0,"---",Trendy!G9/Trendy!G5*$C7)</f>
        <v>9.7453553171685386E-3</v>
      </c>
      <c r="H7" s="296">
        <f>IF(Trendy!H5=0,"---",Trendy!H9/Trendy!H5*$C7)</f>
        <v>0.21831552879577029</v>
      </c>
      <c r="I7" s="296">
        <f>IF(Trendy!I5=0,"---",Trendy!I9/Trendy!I5*$C7)</f>
        <v>6.0820318804111699E-2</v>
      </c>
      <c r="J7" s="296">
        <f>IF(Trendy!J5=0,"---",Trendy!J9/Trendy!J5*$C7)</f>
        <v>0.27626960817227536</v>
      </c>
      <c r="K7" s="296">
        <f>IF(Trendy!K5=0,"---",Trendy!K9/Trendy!K5*$C7)</f>
        <v>0.29947675865626261</v>
      </c>
      <c r="L7" s="296">
        <f>IF(Trendy!L5=0,"---",Trendy!L9/Trendy!L5*$C7)</f>
        <v>0.38293556439490978</v>
      </c>
      <c r="M7" s="296">
        <f>IF(Trendy!M5=0,"---",Trendy!M9/Trendy!M5*$C7)</f>
        <v>0.17173020804932265</v>
      </c>
      <c r="N7" s="296">
        <f>IF(Trendy!N5=0,"---",Trendy!N9/Trendy!N5*$C7)</f>
        <v>7.9725351720450088E-2</v>
      </c>
      <c r="O7" s="296">
        <f>IF(Trendy!O5=0,"---",Trendy!O9/Trendy!O5*$C7)</f>
        <v>0.22968405617642329</v>
      </c>
      <c r="P7" s="296">
        <f>IF(Trendy!P5=0,"---",Trendy!P9/Trendy!P5*$C7)</f>
        <v>0.2700870042430244</v>
      </c>
      <c r="Q7" s="296">
        <f>IF(Trendy!Q5=0,"---",Trendy!Q9/Trendy!Q5*$C7)</f>
        <v>1.921885627536711E-2</v>
      </c>
      <c r="R7" s="296">
        <f>IF(Trendy!R5=0,"---",Trendy!R9/Trendy!R5*$C7)</f>
        <v>2.2163312125796112E-3</v>
      </c>
      <c r="S7" s="296">
        <f>IF(Trendy!S5=0,"---",Trendy!S9/Trendy!S5*$C7)</f>
        <v>5.0458350767791909E-3</v>
      </c>
      <c r="T7" s="296">
        <f>IF(Trendy!T5=0,"---",Trendy!T9/Trendy!T5*$C7)</f>
        <v>9.9876937101651769E-2</v>
      </c>
      <c r="U7" s="296">
        <f>IF(Trendy!U5=0,"---",Trendy!U9/Trendy!U5*$C7)</f>
        <v>0.40505518366655202</v>
      </c>
    </row>
    <row r="8" spans="2:21" x14ac:dyDescent="0.2">
      <c r="B8" s="269" t="s">
        <v>151</v>
      </c>
      <c r="C8" s="303">
        <v>0.3</v>
      </c>
      <c r="D8" s="296">
        <f>IF(Trendy!D5=0,"---",Výkazy!I106/Trendy!D5*$C8)</f>
        <v>1.770346692894025E-4</v>
      </c>
      <c r="E8" s="296">
        <f>IF(Trendy!E5=0,"---",Výkazy!J106/Trendy!E5*$C8)</f>
        <v>2.2124800262219855E-4</v>
      </c>
      <c r="F8" s="296">
        <f>IF(Trendy!F5=0,"---",Výkazy!K106/Trendy!F5*$C8)</f>
        <v>3.6477066296898217E-4</v>
      </c>
      <c r="G8" s="296">
        <f>IF(Trendy!G5=0,"---",Výkazy!L106/Trendy!G5*$C8)</f>
        <v>4.0652831813471114E-4</v>
      </c>
      <c r="H8" s="296">
        <f>IF(Trendy!H5=0,"---",Výkazy!M106/Trendy!H5*$C8)</f>
        <v>3.6496067490968749E-4</v>
      </c>
      <c r="I8" s="296">
        <f>IF(Trendy!I5=0,"---",Výkazy!N106/Trendy!I5*$C8)</f>
        <v>4.1309553390593377E-4</v>
      </c>
      <c r="J8" s="296">
        <f>IF(Trendy!J5=0,"---",Výkazy!O106/Trendy!J5*$C8)</f>
        <v>4.7482431947195518E-4</v>
      </c>
      <c r="K8" s="296">
        <f>IF(Trendy!K5=0,"---",Výkazy!P106/Trendy!K5*$C8)</f>
        <v>5.4373248544187258E-4</v>
      </c>
      <c r="L8" s="296">
        <f>IF(Trendy!L5=0,"---",Výkazy!Q106/Trendy!L5*$C8)</f>
        <v>8.7999804914417723E-4</v>
      </c>
      <c r="M8" s="296">
        <f>IF(Trendy!M5=0,"---",Výkazy!R106/Trendy!M5*$C8)</f>
        <v>1.7596839203649919E-3</v>
      </c>
      <c r="N8" s="296">
        <f>IF(Trendy!N5=0,"---",Výkazy!S106/Trendy!N5*$C8)</f>
        <v>1.6752211511511237E-3</v>
      </c>
      <c r="O8" s="296">
        <f>IF(Trendy!O5=0,"---",Výkazy!T106/Trendy!O5*$C8)</f>
        <v>1.9585493342407735E-3</v>
      </c>
      <c r="P8" s="296">
        <f>IF(Trendy!P5=0,"---",Výkazy!U106/Trendy!P5*$C8)</f>
        <v>1.9873004064209724E-3</v>
      </c>
      <c r="Q8" s="296">
        <f>IF(Trendy!Q5=0,"---",Výkazy!V106/Trendy!Q5*$C8)</f>
        <v>2.5447477406736027E-3</v>
      </c>
      <c r="R8" s="296">
        <f>IF(Trendy!R5=0,"---",Výkazy!W106/Trendy!R5*$C8)</f>
        <v>2.5952258980908474E-3</v>
      </c>
      <c r="S8" s="296">
        <f>IF(Trendy!S5=0,"---",Výkazy!X106/Trendy!S5*$C8)</f>
        <v>2.602780136557094E-3</v>
      </c>
      <c r="T8" s="296">
        <f>IF(Trendy!T5=0,"---",Výkazy!Y106/Trendy!T5*$C8)</f>
        <v>2.413971989297979E-3</v>
      </c>
      <c r="U8" s="296">
        <f>IF(Trendy!U5=0,"---",Výkazy!Z106/Trendy!U5*$C8)</f>
        <v>1.2127245719592986E-3</v>
      </c>
    </row>
    <row r="9" spans="2:21" x14ac:dyDescent="0.2">
      <c r="B9" s="269" t="s">
        <v>152</v>
      </c>
      <c r="C9" s="303">
        <v>0.1</v>
      </c>
      <c r="D9" s="296">
        <f>IF(Výkazy!I75=0,"---",Trendy!D5/Výkazy!I75*$C9)</f>
        <v>0.20571156880993813</v>
      </c>
      <c r="E9" s="296">
        <f>IF(Výkazy!J75=0,"---",Trendy!E5/Výkazy!J75*$C9)</f>
        <v>0.19879454286296072</v>
      </c>
      <c r="F9" s="296">
        <f>IF(Výkazy!K75=0,"---",Trendy!F5/Výkazy!K75*$C9)</f>
        <v>0.20779586371016548</v>
      </c>
      <c r="G9" s="296">
        <f>IF(Výkazy!L75=0,"---",Trendy!G5/Výkazy!L75*$C9)</f>
        <v>0.25092780540761522</v>
      </c>
      <c r="H9" s="296">
        <f>IF(Výkazy!M75=0,"---",Trendy!H5/Výkazy!M75*$C9)</f>
        <v>0.30625251247319918</v>
      </c>
      <c r="I9" s="296">
        <f>IF(Výkazy!N75=0,"---",Trendy!I5/Výkazy!N75*$C9)</f>
        <v>0.25432835214493149</v>
      </c>
      <c r="J9" s="296">
        <f>IF(Výkazy!O75=0,"---",Trendy!J5/Výkazy!O75*$C9)</f>
        <v>0.21765033216358384</v>
      </c>
      <c r="K9" s="296">
        <f>IF(Výkazy!P75=0,"---",Trendy!K5/Výkazy!P75*$C9)</f>
        <v>0.21178441902072526</v>
      </c>
      <c r="L9" s="296">
        <f>IF(Výkazy!Q75=0,"---",Trendy!L5/Výkazy!Q75*$C9)</f>
        <v>0.16717234009267173</v>
      </c>
      <c r="M9" s="296">
        <f>IF(Výkazy!R75=0,"---",Trendy!M5/Výkazy!R75*$C9)</f>
        <v>0.13278184632045106</v>
      </c>
      <c r="N9" s="296">
        <f>IF(Výkazy!S75=0,"---",Trendy!N5/Výkazy!S75*$C9)</f>
        <v>0.14372155162702704</v>
      </c>
      <c r="O9" s="296">
        <f>IF(Výkazy!T75=0,"---",Trendy!O5/Výkazy!T75*$C9)</f>
        <v>0.14588028341737988</v>
      </c>
      <c r="P9" s="296">
        <f>IF(Výkazy!U75=0,"---",Trendy!P5/Výkazy!U75*$C9)</f>
        <v>0.18151127583702542</v>
      </c>
      <c r="Q9" s="296">
        <f>IF(Výkazy!V75=0,"---",Trendy!Q5/Výkazy!V75*$C9)</f>
        <v>0.14404560175267905</v>
      </c>
      <c r="R9" s="296">
        <f>IF(Výkazy!W75=0,"---",Trendy!R5/Výkazy!W75*$C9)</f>
        <v>9.2502475145260374E-2</v>
      </c>
      <c r="S9" s="296">
        <f>IF(Výkazy!X75=0,"---",Trendy!S5/Výkazy!X75*$C9)</f>
        <v>9.6030664367160734E-2</v>
      </c>
      <c r="T9" s="296">
        <f>IF(Výkazy!Y75=0,"---",Trendy!T5/Výkazy!Y75*$C9)</f>
        <v>0.11046095768109701</v>
      </c>
      <c r="U9" s="296">
        <f>IF(Výkazy!Z75=0,"---",Trendy!U5/Výkazy!Z75*$C9)</f>
        <v>8.9889796849705744E-2</v>
      </c>
    </row>
    <row r="10" spans="2:21" x14ac:dyDescent="0.2">
      <c r="B10" s="304" t="s">
        <v>153</v>
      </c>
      <c r="C10" s="305"/>
      <c r="D10" s="306">
        <f t="shared" ref="D10:I10" si="0">SUM(D4:D9)</f>
        <v>0.3279207992935006</v>
      </c>
      <c r="E10" s="307">
        <f t="shared" si="0"/>
        <v>2.5730889988274273</v>
      </c>
      <c r="F10" s="307">
        <f t="shared" si="0"/>
        <v>2.2441912864603988</v>
      </c>
      <c r="G10" s="306">
        <f t="shared" si="0"/>
        <v>0.52379250694699864</v>
      </c>
      <c r="H10" s="307">
        <f t="shared" si="0"/>
        <v>2.1245076071280788</v>
      </c>
      <c r="I10" s="306">
        <f t="shared" si="0"/>
        <v>0.99259546095115536</v>
      </c>
      <c r="J10" s="307">
        <f t="shared" ref="J10:K10" si="1">SUM(J4:J9)</f>
        <v>1.998413556821653</v>
      </c>
      <c r="K10" s="307">
        <f t="shared" si="1"/>
        <v>2.1611779732218368</v>
      </c>
      <c r="L10" s="307">
        <f t="shared" ref="L10:M10" si="2">SUM(L4:L9)</f>
        <v>2.1586294350478634</v>
      </c>
      <c r="M10" s="307">
        <f t="shared" si="2"/>
        <v>1.0735980687366038</v>
      </c>
      <c r="N10" s="307">
        <f t="shared" ref="N10:Q10" si="3">SUM(N4:N9)</f>
        <v>1.3051466522286272</v>
      </c>
      <c r="O10" s="307">
        <f t="shared" si="3"/>
        <v>1.0207173820807343</v>
      </c>
      <c r="P10" s="307">
        <f t="shared" si="3"/>
        <v>2.7375743141678344</v>
      </c>
      <c r="Q10" s="307">
        <f t="shared" si="3"/>
        <v>1.9927979925453316</v>
      </c>
      <c r="R10" s="338">
        <f t="shared" ref="R10:S10" si="4">SUM(R4:R9)</f>
        <v>0.53272083065024456</v>
      </c>
      <c r="S10" s="307">
        <f t="shared" si="4"/>
        <v>0.54540570328805915</v>
      </c>
      <c r="T10" s="307">
        <f t="shared" ref="T10:U10" si="5">SUM(T4:T9)</f>
        <v>1.2044091491486595</v>
      </c>
      <c r="U10" s="307">
        <f t="shared" si="5"/>
        <v>2.0972513426167874</v>
      </c>
    </row>
    <row r="11" spans="2:21" x14ac:dyDescent="0.2">
      <c r="B11" s="273" t="s">
        <v>593</v>
      </c>
      <c r="C11" s="302"/>
      <c r="D11" s="273"/>
      <c r="E11" s="273"/>
      <c r="F11" s="273"/>
      <c r="G11" s="273"/>
      <c r="H11" s="273"/>
      <c r="I11" s="273"/>
      <c r="J11" s="273"/>
      <c r="K11" s="273"/>
      <c r="L11" s="273"/>
      <c r="M11" s="273"/>
      <c r="N11" s="273"/>
      <c r="O11" s="273"/>
      <c r="P11" s="273"/>
      <c r="Q11" s="273"/>
      <c r="R11" s="273"/>
      <c r="S11" s="273"/>
      <c r="T11" s="273"/>
      <c r="U11" s="273"/>
    </row>
    <row r="12" spans="2:21" x14ac:dyDescent="0.2">
      <c r="B12" s="286"/>
      <c r="C12" s="273"/>
      <c r="D12" s="308"/>
      <c r="E12" s="308"/>
      <c r="F12" s="308"/>
      <c r="G12" s="308"/>
      <c r="H12" s="308"/>
      <c r="I12" s="308"/>
      <c r="J12" s="308"/>
      <c r="K12" s="308"/>
      <c r="L12" s="308"/>
      <c r="M12" s="308"/>
      <c r="N12" s="308"/>
      <c r="O12" s="308"/>
      <c r="P12" s="308"/>
      <c r="Q12" s="308"/>
      <c r="R12" s="308"/>
      <c r="S12" s="308"/>
      <c r="T12" s="308"/>
      <c r="U12" s="308"/>
    </row>
    <row r="13" spans="2:21" x14ac:dyDescent="0.2">
      <c r="B13" s="267" t="s">
        <v>154</v>
      </c>
      <c r="C13" s="302" t="s">
        <v>146</v>
      </c>
      <c r="D13" s="268">
        <f>Výkazy!I$3</f>
        <v>2007</v>
      </c>
      <c r="E13" s="268">
        <f>Výkazy!J$3</f>
        <v>2008</v>
      </c>
      <c r="F13" s="268">
        <f>Výkazy!K$3</f>
        <v>2009</v>
      </c>
      <c r="G13" s="268">
        <f>Výkazy!L$3</f>
        <v>2010</v>
      </c>
      <c r="H13" s="268">
        <f>Výkazy!M$3</f>
        <v>2011</v>
      </c>
      <c r="I13" s="268">
        <f>Výkazy!N$3</f>
        <v>2012</v>
      </c>
      <c r="J13" s="268">
        <f>Výkazy!O$3</f>
        <v>2013</v>
      </c>
      <c r="K13" s="268">
        <f>Výkazy!P$3</f>
        <v>2014</v>
      </c>
      <c r="L13" s="268">
        <f>Výkazy!Q$3</f>
        <v>2015</v>
      </c>
      <c r="M13" s="268">
        <f>Výkazy!R$3</f>
        <v>2016</v>
      </c>
      <c r="N13" s="268">
        <f>Výkazy!S$3</f>
        <v>2017</v>
      </c>
      <c r="O13" s="268">
        <f>Výkazy!T$3</f>
        <v>2018</v>
      </c>
      <c r="P13" s="268">
        <f>Výkazy!U$3</f>
        <v>2019</v>
      </c>
      <c r="Q13" s="268">
        <f>Výkazy!V$3</f>
        <v>2020</v>
      </c>
      <c r="R13" s="268">
        <f>Výkazy!W$3</f>
        <v>2021</v>
      </c>
      <c r="S13" s="268">
        <f>Výkazy!X$3</f>
        <v>2022</v>
      </c>
      <c r="T13" s="268">
        <f>Výkazy!Y$3</f>
        <v>2023</v>
      </c>
      <c r="U13" s="268">
        <f>Výkazy!Z$3</f>
        <v>2024</v>
      </c>
    </row>
    <row r="14" spans="2:21" x14ac:dyDescent="0.2">
      <c r="B14" s="269" t="s">
        <v>257</v>
      </c>
      <c r="C14" s="303">
        <v>1.2</v>
      </c>
      <c r="D14" s="296">
        <f>IF(Výkazy!I$144=0,"---",Likvidita!C35/Výkazy!I$144*$C14)</f>
        <v>-8.0896694047667209E-2</v>
      </c>
      <c r="E14" s="296">
        <f>IF(Výkazy!J$144=0,"---",Likvidita!D35/Výkazy!J$144*$C14)</f>
        <v>2.2121767460802282E-2</v>
      </c>
      <c r="F14" s="296">
        <f>IF(Výkazy!K$144=0,"---",Likvidita!E35/Výkazy!K$144*$C14)</f>
        <v>7.3919886434751142E-2</v>
      </c>
      <c r="G14" s="296">
        <f>IF(Výkazy!L$144=0,"---",Likvidita!F35/Výkazy!L$144*$C14)</f>
        <v>-1.464331658524003E-2</v>
      </c>
      <c r="H14" s="296">
        <f>IF(Výkazy!M$144=0,"---",Likvidita!G35/Výkazy!M$144*$C14)</f>
        <v>2.3182360540137763E-2</v>
      </c>
      <c r="I14" s="296">
        <f>IF(Výkazy!N$144=0,"---",Likvidita!H35/Výkazy!N$144*$C14)</f>
        <v>3.4881204649017138E-2</v>
      </c>
      <c r="J14" s="296">
        <f>IF(Výkazy!O$144=0,"---",Likvidita!I35/Výkazy!O$144*$C14)</f>
        <v>-4.1208513748613937E-2</v>
      </c>
      <c r="K14" s="296">
        <f>IF(Výkazy!P$144=0,"---",Likvidita!J35/Výkazy!P$144*$C14)</f>
        <v>-9.4957655765249699E-2</v>
      </c>
      <c r="L14" s="296">
        <f>IF(Výkazy!Q$144=0,"---",Likvidita!K35/Výkazy!Q$144*$C14)</f>
        <v>1.2045410069137287E-2</v>
      </c>
      <c r="M14" s="296">
        <f>IF(Výkazy!R$144=0,"---",Likvidita!L35/Výkazy!R$144*$C14)</f>
        <v>2.4785542804866223E-2</v>
      </c>
      <c r="N14" s="296">
        <f>IF(Výkazy!S$144=0,"---",Likvidita!M35/Výkazy!S$144*$C14)</f>
        <v>5.0793803649385016E-2</v>
      </c>
      <c r="O14" s="296">
        <f>IF(Výkazy!T$144=0,"---",Likvidita!N35/Výkazy!T$144*$C14)</f>
        <v>0.26088358545714263</v>
      </c>
      <c r="P14" s="296">
        <f>IF(Výkazy!U$144=0,"---",Likvidita!O35/Výkazy!U$144*$C14)</f>
        <v>0.33650086632356507</v>
      </c>
      <c r="Q14" s="296">
        <f>IF(Výkazy!V$144=0,"---",Likvidita!P35/Výkazy!V$144*$C14)</f>
        <v>0.40685950872690685</v>
      </c>
      <c r="R14" s="296">
        <f>IF(Výkazy!W$144=0,"---",Likvidita!Q35/Výkazy!W$144*$C14)</f>
        <v>0.17146488119461983</v>
      </c>
      <c r="S14" s="296">
        <f>IF(Výkazy!X$144=0,"---",Likvidita!R35/Výkazy!X$144*$C14)</f>
        <v>0.21561269440639014</v>
      </c>
      <c r="T14" s="296">
        <f>IF(Výkazy!Y$144=0,"---",Likvidita!S35/Výkazy!Y$144*$C14)</f>
        <v>0.35812386657716583</v>
      </c>
      <c r="U14" s="296">
        <f>IF(Výkazy!Z$144=0,"---",Likvidita!T35/Výkazy!Z$144*$C14)</f>
        <v>0.31568541384674448</v>
      </c>
    </row>
    <row r="15" spans="2:21" x14ac:dyDescent="0.2">
      <c r="B15" s="269" t="s">
        <v>271</v>
      </c>
      <c r="C15" s="303">
        <v>1.4</v>
      </c>
      <c r="D15" s="296">
        <f>IF(Výkazy!I$144=0,"---",(Výkazy!I155+Výkazy!I158+Výkazy!I161)/Výkazy!I$144*$C15)</f>
        <v>2.7758669526160322E-3</v>
      </c>
      <c r="E15" s="296">
        <f>IF(Výkazy!J$144=0,"---",(Výkazy!J155+Výkazy!J158+Výkazy!J161)/Výkazy!J$144*$C15)</f>
        <v>0.19099979637548362</v>
      </c>
      <c r="F15" s="296">
        <f>IF(Výkazy!K$144=0,"---",(Výkazy!K155+Výkazy!K158+Výkazy!K161)/Výkazy!K$144*$C15)</f>
        <v>0.32550589780539191</v>
      </c>
      <c r="G15" s="296">
        <f>IF(Výkazy!L$144=0,"---",(Výkazy!L155+Výkazy!L158+Výkazy!L161)/Výkazy!L$144*$C15)</f>
        <v>0.32259669406243308</v>
      </c>
      <c r="H15" s="296">
        <f>IF(Výkazy!M$144=0,"---",(Výkazy!M155+Výkazy!M158+Výkazy!M161)/Výkazy!M$144*$C15)</f>
        <v>0.43359059849943649</v>
      </c>
      <c r="I15" s="296">
        <f>IF(Výkazy!N$144=0,"---",(Výkazy!N155+Výkazy!N158+Výkazy!N161)/Výkazy!N$144*$C15)</f>
        <v>0.3536289659810597</v>
      </c>
      <c r="J15" s="296">
        <f>IF(Výkazy!O$144=0,"---",(Výkazy!O155+Výkazy!O158+Výkazy!O161)/Výkazy!O$144*$C15)</f>
        <v>0.40591288773411277</v>
      </c>
      <c r="K15" s="296">
        <f>IF(Výkazy!P$144=0,"---",(Výkazy!P155+Výkazy!P158+Výkazy!P161)/Výkazy!P$144*$C15)</f>
        <v>0.5186039030510784</v>
      </c>
      <c r="L15" s="296">
        <f>IF(Výkazy!Q$144=0,"---",(Výkazy!Q155+Výkazy!Q158+Výkazy!Q161)/Výkazy!Q$144*$C15)</f>
        <v>0.53002964404858033</v>
      </c>
      <c r="M15" s="296">
        <f>IF(Výkazy!R$144=0,"---",(Výkazy!R155+Výkazy!R158+Výkazy!R161)/Výkazy!R$144*$C15)</f>
        <v>0.51090134117214792</v>
      </c>
      <c r="N15" s="296">
        <f>IF(Výkazy!S$144=0,"---",(Výkazy!S155+Výkazy!S158+Výkazy!S161)/Výkazy!S$144*$C15)</f>
        <v>0.58270904813103452</v>
      </c>
      <c r="O15" s="296">
        <f>IF(Výkazy!T$144=0,"---",(Výkazy!T155+Výkazy!T158+Výkazy!T161)/Výkazy!T$144*$C15)</f>
        <v>0.70647173485126502</v>
      </c>
      <c r="P15" s="296">
        <f>IF(Výkazy!U$144=0,"---",(Výkazy!U155+Výkazy!U158+Výkazy!U161)/Výkazy!U$144*$C15)</f>
        <v>0.96289328016023013</v>
      </c>
      <c r="Q15" s="296">
        <f>IF(Výkazy!V$144=0,"---",(Výkazy!V155+Výkazy!V158+Výkazy!V161)/Výkazy!V$144*$C15)</f>
        <v>1.10789027305274</v>
      </c>
      <c r="R15" s="296">
        <f>IF(Výkazy!W$144=0,"---",(Výkazy!W155+Výkazy!W158+Výkazy!W161)/Výkazy!W$144*$C15)</f>
        <v>0.65342560150783291</v>
      </c>
      <c r="S15" s="296">
        <f>IF(Výkazy!X$144=0,"---",(Výkazy!X155+Výkazy!X158+Výkazy!X161)/Výkazy!X$144*$C15)</f>
        <v>0.6716234882641835</v>
      </c>
      <c r="T15" s="296">
        <f>IF(Výkazy!Y$144=0,"---",(Výkazy!Y155+Výkazy!Y158+Výkazy!Y161)/Výkazy!Y$144*$C15)</f>
        <v>0.79112165881761043</v>
      </c>
      <c r="U15" s="296">
        <f>IF(Výkazy!Z$144=0,"---",(Výkazy!Z155+Výkazy!Z158+Výkazy!Z161)/Výkazy!Z$144*$C15)</f>
        <v>0.91382794495354036</v>
      </c>
    </row>
    <row r="16" spans="2:21" x14ac:dyDescent="0.2">
      <c r="B16" s="269" t="s">
        <v>258</v>
      </c>
      <c r="C16" s="303">
        <v>3.3</v>
      </c>
      <c r="D16" s="296">
        <f>IF(Výkazy!I$144=0,"---",('Ziskovost a náklady'!C9)/Výkazy!I$144*$C16)</f>
        <v>2.6639825193218142E-2</v>
      </c>
      <c r="E16" s="296">
        <f>IF(Výkazy!J$144=0,"---",('Ziskovost a náklady'!D9)/Výkazy!J$144*$C16)</f>
        <v>0.56700061087354914</v>
      </c>
      <c r="F16" s="296">
        <f>IF(Výkazy!K$144=0,"---",('Ziskovost a náklady'!E9)/Výkazy!K$144*$C16)</f>
        <v>0.48791541081909662</v>
      </c>
      <c r="G16" s="296">
        <f>IF(Výkazy!L$144=0,"---",('Ziskovost a náklady'!F9)/Výkazy!L$144*$C16)</f>
        <v>1.7841358575660132E-2</v>
      </c>
      <c r="H16" s="296">
        <f>IF(Výkazy!M$144=0,"---",('Ziskovost a náklady'!G9)/Výkazy!M$144*$C16)</f>
        <v>0.44496838994168481</v>
      </c>
      <c r="I16" s="296">
        <f>IF(Výkazy!N$144=0,"---",('Ziskovost a náklady'!H9)/Výkazy!N$144*$C16)</f>
        <v>0.11382612301779267</v>
      </c>
      <c r="J16" s="296">
        <f>IF(Výkazy!O$144=0,"---",('Ziskovost a náklady'!I9)/Výkazy!O$144*$C16)</f>
        <v>0.40745502953561613</v>
      </c>
      <c r="K16" s="296">
        <f>IF(Výkazy!P$144=0,"---",('Ziskovost a náklady'!J9)/Výkazy!P$144*$C16)</f>
        <v>0.42643762341458691</v>
      </c>
      <c r="L16" s="296">
        <f>IF(Výkazy!Q$144=0,"---",('Ziskovost a náklady'!K9)/Výkazy!Q$144*$C16)</f>
        <v>0.431819262769019</v>
      </c>
      <c r="M16" s="296">
        <f>IF(Výkazy!R$144=0,"---",('Ziskovost a náklady'!L9)/Výkazy!R$144*$C16)</f>
        <v>0.15952566141630506</v>
      </c>
      <c r="N16" s="296">
        <f>IF(Výkazy!S$144=0,"---",('Ziskovost a náklady'!M9)/Výkazy!S$144*$C16)</f>
        <v>8.3463633797043121E-2</v>
      </c>
      <c r="O16" s="296">
        <f>IF(Výkazy!T$144=0,"---",('Ziskovost a náklady'!N9)/Výkazy!T$144*$C16)</f>
        <v>0.23116745952872778</v>
      </c>
      <c r="P16" s="296">
        <f>IF(Výkazy!U$144=0,"---",('Ziskovost a náklady'!O9)/Výkazy!U$144*$C16)</f>
        <v>0.3292154943208746</v>
      </c>
      <c r="Q16" s="296">
        <f>IF(Výkazy!V$144=0,"---",('Ziskovost a náklady'!P9)/Výkazy!V$144*$C16)</f>
        <v>2.1635803849013733E-2</v>
      </c>
      <c r="R16" s="296">
        <f>IF(Výkazy!W$144=0,"---",('Ziskovost a náklady'!Q9)/Výkazy!W$144*$C16)</f>
        <v>4.5503482665239289E-3</v>
      </c>
      <c r="S16" s="296">
        <f>IF(Výkazy!X$144=0,"---",('Ziskovost a náklady'!R9)/Výkazy!X$144*$C16)</f>
        <v>1.7869561137184888E-2</v>
      </c>
      <c r="T16" s="296">
        <f>IF(Výkazy!Y$144=0,"---",('Ziskovost a náklady'!S9)/Výkazy!Y$144*$C16)</f>
        <v>8.5005158900605157E-2</v>
      </c>
      <c r="U16" s="296">
        <f>IF(Výkazy!Z$144=0,"---",('Ziskovost a náklady'!T9)/Výkazy!Z$144*$C16)</f>
        <v>0.24935534711905721</v>
      </c>
    </row>
    <row r="17" spans="2:21" x14ac:dyDescent="0.2">
      <c r="B17" s="269" t="s">
        <v>216</v>
      </c>
      <c r="C17" s="303">
        <v>0.6</v>
      </c>
      <c r="D17" s="296">
        <f>IF('Ziskovost a náklady'!C9=0,0,IF(Trendy!D14=0,"---",5*(Výkazy!I63+Výkazy!I21)/(Výkazy!I162-Výkazy!I163)*$C17))</f>
        <v>0.22118529921108332</v>
      </c>
      <c r="E17" s="296">
        <f>IF('Ziskovost a náklady'!D9=0,0,IF(Trendy!E14=0,"---",5*(Výkazy!J63+Výkazy!J21)/(Výkazy!J162-Výkazy!J163)*$C17))</f>
        <v>0.85643839267864674</v>
      </c>
      <c r="F17" s="296">
        <f>IF('Ziskovost a náklady'!E9=0,0,IF(Trendy!F14=0,"---",5*(Výkazy!K63+Výkazy!K21)/(Výkazy!K162-Výkazy!K163)*$C17))</f>
        <v>0.79670343172102909</v>
      </c>
      <c r="G17" s="296">
        <f>IF('Ziskovost a náklady'!F9=0,0,IF(Trendy!G14=0,"---",5*(Výkazy!L63+Výkazy!L21)/(Výkazy!L162-Výkazy!L163)*$C17))</f>
        <v>0.35059046641597225</v>
      </c>
      <c r="H17" s="296">
        <f>IF('Ziskovost a náklady'!G9=0,0,IF(Trendy!H14=0,"---",5*(Výkazy!M63+Výkazy!M21)/(Výkazy!M162-Výkazy!M163)*$C17))</f>
        <v>1.0633335228854601</v>
      </c>
      <c r="I17" s="296">
        <f>IF('Ziskovost a náklady'!H9=0,0,IF(Trendy!I14=0,"---",5*(Výkazy!N63+Výkazy!N21)/(Výkazy!N162-Výkazy!N163)*$C17))</f>
        <v>0.87258862455403496</v>
      </c>
      <c r="J17" s="296">
        <f>IF('Ziskovost a náklady'!I9=0,0,IF(Trendy!J14=0,"---",5*(Výkazy!O63+Výkazy!O21)/(Výkazy!O162-Výkazy!O163)*$C17))</f>
        <v>1.7845029733236808</v>
      </c>
      <c r="K17" s="296">
        <f>IF('Ziskovost a náklady'!J9=0,0,IF(Trendy!K14=0,"---",5*(Výkazy!P63+Výkazy!P21)/(Výkazy!P162-Výkazy!P163)*$C17))</f>
        <v>2.2585419942215053</v>
      </c>
      <c r="L17" s="296">
        <f>IF('Ziskovost a náklady'!K9=0,0,IF(Trendy!L14=0,"---",5*(Výkazy!Q63+Výkazy!Q21)/(Výkazy!Q162-Výkazy!Q163)*$C17))</f>
        <v>2.2498624659935498</v>
      </c>
      <c r="M17" s="296">
        <f>IF('Ziskovost a náklady'!L9=0,0,IF(Trendy!M14=0,"---",5*(Výkazy!R63+Výkazy!R21)/(Výkazy!R162-Výkazy!R163)*$C17))</f>
        <v>1.9927995156996667</v>
      </c>
      <c r="N17" s="296">
        <f>IF('Ziskovost a náklady'!M9=0,0,IF(Trendy!N14=0,"---",5*(Výkazy!S63+Výkazy!S21)/(Výkazy!S162-Výkazy!S163)*$C17))</f>
        <v>2.0809590405896232</v>
      </c>
      <c r="O17" s="296">
        <f>IF('Ziskovost a náklady'!N9=0,0,IF(Trendy!O14=0,"---",5*(Výkazy!T63+Výkazy!T21)/(Výkazy!T162-Výkazy!T163)*$C17))</f>
        <v>2.6749207855556789</v>
      </c>
      <c r="P17" s="296">
        <f>IF('Ziskovost a náklady'!O9=0,0,IF(Trendy!P14=0,"---",5*(Výkazy!U63+Výkazy!U21)/(Výkazy!U162-Výkazy!U163)*$C17))</f>
        <v>4.3798243573373687</v>
      </c>
      <c r="Q17" s="296">
        <f>IF('Ziskovost a náklady'!P9=0,0,IF(Trendy!Q14=0,"---",5*(Výkazy!V63+Výkazy!V21)/(Výkazy!V162-Výkazy!V163)*$C17))</f>
        <v>4.0881775547224342</v>
      </c>
      <c r="R17" s="296">
        <f>IF('Ziskovost a náklady'!Q9=0,0,IF(Trendy!R14=0,"---",5*(Výkazy!W63+Výkazy!W21)/(Výkazy!W162-Výkazy!W163)*$C17))</f>
        <v>0.87035705366195082</v>
      </c>
      <c r="S17" s="296">
        <f>IF('Ziskovost a náklady'!R9=0,0,IF(Trendy!S14=0,"---",5*(Výkazy!X63+Výkazy!X21)/(Výkazy!X162-Výkazy!X163)*$C17))</f>
        <v>0.75691558978180884</v>
      </c>
      <c r="T17" s="296">
        <f>IF('Ziskovost a náklady'!S9=0,0,IF(Trendy!T14=0,"---",5*(Výkazy!Y63+Výkazy!Y21)/(Výkazy!Y162-Výkazy!Y163)*$C17))</f>
        <v>1.6034779103204215</v>
      </c>
      <c r="U17" s="296">
        <f>IF('Ziskovost a náklady'!T9=0,0,IF(Trendy!U14=0,"---",5*(Výkazy!Z63+Výkazy!Z21)/(Výkazy!Z162-Výkazy!Z163)*$C17))</f>
        <v>1.1142667611412116</v>
      </c>
    </row>
    <row r="18" spans="2:21" x14ac:dyDescent="0.2">
      <c r="B18" s="269" t="s">
        <v>217</v>
      </c>
      <c r="C18" s="303">
        <v>1</v>
      </c>
      <c r="D18" s="296">
        <f>IF(Výkazy!I$144=0,"---",(Výkazy!I4+Výkazy!I7+Výkazy!I22+Výkazy!I29+Výkazy!I36+Výkazy!I40+Výkazy!I42+Výkazy!I45+Výkazy!I47)/Výkazy!I$144*$C18)</f>
        <v>2.0734835916319345</v>
      </c>
      <c r="E18" s="296">
        <f>IF(Výkazy!J$144=0,"---",(Výkazy!J4+Výkazy!J7+Výkazy!J22+Výkazy!J29+Výkazy!J36+Výkazy!J40+Výkazy!J42+Výkazy!J45+Výkazy!J47)/Výkazy!J$144*$C18)</f>
        <v>2.0498337066449466</v>
      </c>
      <c r="F18" s="296">
        <f>IF(Výkazy!K$144=0,"---",(Výkazy!K4+Výkazy!K7+Výkazy!K22+Výkazy!K29+Výkazy!K36+Výkazy!K40+Výkazy!K42+Výkazy!K45+Výkazy!K47)/Výkazy!K$144*$C18)</f>
        <v>2.1300967659911589</v>
      </c>
      <c r="G18" s="296">
        <f>IF(Výkazy!L$144=0,"---",(Výkazy!L4+Výkazy!L7+Výkazy!L22+Výkazy!L29+Výkazy!L36+Výkazy!L40+Výkazy!L42+Výkazy!L45+Výkazy!L47)/Výkazy!L$144*$C18)</f>
        <v>2.5890763870351146</v>
      </c>
      <c r="H18" s="296">
        <f>IF(Výkazy!M$144=0,"---",(Výkazy!M4+Výkazy!M7+Výkazy!M22+Výkazy!M29+Výkazy!M36+Výkazy!M40+Výkazy!M42+Výkazy!M45+Výkazy!M47)/Výkazy!M$144*$C18)</f>
        <v>3.1991718975744949</v>
      </c>
      <c r="I18" s="296">
        <f>IF(Výkazy!N$144=0,"---",(Výkazy!N4+Výkazy!N7+Výkazy!N22+Výkazy!N29+Výkazy!N36+Výkazy!N40+Výkazy!N42+Výkazy!N45+Výkazy!N47)/Výkazy!N$144*$C18)</f>
        <v>2.6347212393960415</v>
      </c>
      <c r="J18" s="296">
        <f>IF(Výkazy!O$144=0,"---",(Výkazy!O4+Výkazy!O7+Výkazy!O22+Výkazy!O29+Výkazy!O36+Výkazy!O40+Výkazy!O42+Výkazy!O45+Výkazy!O47)/Výkazy!O$144*$C18)</f>
        <v>2.2515216314772615</v>
      </c>
      <c r="K18" s="296">
        <f>IF(Výkazy!P$144=0,"---",(Výkazy!P4+Výkazy!P7+Výkazy!P22+Výkazy!P29+Výkazy!P36+Výkazy!P40+Výkazy!P42+Výkazy!P45+Výkazy!P47)/Výkazy!P$144*$C18)</f>
        <v>2.1696357885252913</v>
      </c>
      <c r="L18" s="296">
        <f>IF(Výkazy!Q$144=0,"---",(Výkazy!Q4+Výkazy!Q7+Výkazy!Q22+Výkazy!Q29+Výkazy!Q36+Výkazy!Q40+Výkazy!Q42+Výkazy!Q45+Výkazy!Q47)/Výkazy!Q$144*$C18)</f>
        <v>1.7097426739611292</v>
      </c>
      <c r="M18" s="296">
        <f>IF(Výkazy!R$144=0,"---",(Výkazy!R4+Výkazy!R7+Výkazy!R22+Výkazy!R29+Výkazy!R36+Výkazy!R40+Výkazy!R42+Výkazy!R45+Výkazy!R47)/Výkazy!R$144*$C18)</f>
        <v>1.3549574740254546</v>
      </c>
      <c r="N18" s="296">
        <f>IF(Výkazy!S$144=0,"---",(Výkazy!S4+Výkazy!S7+Výkazy!S22+Výkazy!S29+Výkazy!S36+Výkazy!S40+Výkazy!S42+Výkazy!S45+Výkazy!S47)/Výkazy!S$144*$C18)</f>
        <v>1.4788587264629838</v>
      </c>
      <c r="O18" s="296">
        <f>IF(Výkazy!T$144=0,"---",(Výkazy!T4+Výkazy!T7+Výkazy!T22+Výkazy!T29+Výkazy!T36+Výkazy!T40+Výkazy!T42+Výkazy!T45+Výkazy!T47)/Výkazy!T$144*$C18)</f>
        <v>1.5128525652341467</v>
      </c>
      <c r="P18" s="296">
        <f>IF(Výkazy!U$144=0,"---",(Výkazy!U4+Výkazy!U7+Výkazy!U22+Výkazy!U29+Výkazy!U36+Výkazy!U40+Výkazy!U42+Výkazy!U45+Výkazy!U47)/Výkazy!U$144*$C18)</f>
        <v>1.8432019487878699</v>
      </c>
      <c r="Q18" s="296">
        <f>IF(Výkazy!V$144=0,"---",(Výkazy!V4+Výkazy!V7+Výkazy!V22+Výkazy!V29+Výkazy!V36+Výkazy!V40+Výkazy!V42+Výkazy!V45+Výkazy!V47)/Výkazy!V$144*$C18)</f>
        <v>1.518278596685932</v>
      </c>
      <c r="R18" s="296">
        <f>IF(Výkazy!W$144=0,"---",(Výkazy!W4+Výkazy!W7+Výkazy!W22+Výkazy!W29+Výkazy!W36+Výkazy!W40+Výkazy!W42+Výkazy!W45+Výkazy!W47)/Výkazy!W$144*$C18)</f>
        <v>0.96041928392570142</v>
      </c>
      <c r="S18" s="296">
        <f>IF(Výkazy!X$144=0,"---",(Výkazy!X4+Výkazy!X7+Výkazy!X22+Výkazy!X29+Výkazy!X36+Výkazy!X40+Výkazy!X42+Výkazy!X45+Výkazy!X47)/Výkazy!X$144*$C18)</f>
        <v>1.0044830504823501</v>
      </c>
      <c r="T18" s="296">
        <f>IF(Výkazy!Y$144=0,"---",(Výkazy!Y4+Výkazy!Y7+Výkazy!Y22+Výkazy!Y29+Výkazy!Y36+Výkazy!Y40+Výkazy!Y42+Výkazy!Y45+Výkazy!Y47)/Výkazy!Y$144*$C18)</f>
        <v>1.1676713842535809</v>
      </c>
      <c r="U18" s="296">
        <f>IF(Výkazy!Z$144=0,"---",(Výkazy!Z4+Výkazy!Z7+Výkazy!Z22+Výkazy!Z29+Výkazy!Z36+Výkazy!Z40+Výkazy!Z42+Výkazy!Z45+Výkazy!Z47)/Výkazy!Z$144*$C18)</f>
        <v>0.92969384709602032</v>
      </c>
    </row>
    <row r="19" spans="2:21" x14ac:dyDescent="0.2">
      <c r="B19" s="304" t="s">
        <v>153</v>
      </c>
      <c r="C19" s="305"/>
      <c r="D19" s="306">
        <f t="shared" ref="D19:I19" si="6">SUM(D14:D18)</f>
        <v>2.2431878889411849</v>
      </c>
      <c r="E19" s="307">
        <f t="shared" si="6"/>
        <v>3.6863942740334283</v>
      </c>
      <c r="F19" s="307">
        <f t="shared" si="6"/>
        <v>3.8141413927714276</v>
      </c>
      <c r="G19" s="307">
        <f t="shared" si="6"/>
        <v>3.2654615895039401</v>
      </c>
      <c r="H19" s="307">
        <f t="shared" si="6"/>
        <v>5.1642467694412142</v>
      </c>
      <c r="I19" s="307">
        <f t="shared" si="6"/>
        <v>4.0096461575979454</v>
      </c>
      <c r="J19" s="307">
        <f t="shared" ref="J19:K19" si="7">SUM(J14:J18)</f>
        <v>4.8081840083220566</v>
      </c>
      <c r="K19" s="307">
        <f t="shared" si="7"/>
        <v>5.2782616534472115</v>
      </c>
      <c r="L19" s="307">
        <f t="shared" ref="L19:M19" si="8">SUM(L14:L18)</f>
        <v>4.9334994568414157</v>
      </c>
      <c r="M19" s="307">
        <f t="shared" si="8"/>
        <v>4.0429695351184405</v>
      </c>
      <c r="N19" s="307">
        <f t="shared" ref="N19:Q19" si="9">SUM(N14:N18)</f>
        <v>4.2767842526300699</v>
      </c>
      <c r="O19" s="307">
        <f t="shared" si="9"/>
        <v>5.3862961306269614</v>
      </c>
      <c r="P19" s="307">
        <f t="shared" si="9"/>
        <v>7.8516359469299086</v>
      </c>
      <c r="Q19" s="307">
        <f t="shared" si="9"/>
        <v>7.1428417370370267</v>
      </c>
      <c r="R19" s="338">
        <f t="shared" ref="R19:S19" si="10">SUM(R14:R18)</f>
        <v>2.6602171685566289</v>
      </c>
      <c r="S19" s="338">
        <f t="shared" si="10"/>
        <v>2.6665043840719171</v>
      </c>
      <c r="T19" s="307">
        <f t="shared" ref="T19:U19" si="11">SUM(T14:T18)</f>
        <v>4.0053999788693844</v>
      </c>
      <c r="U19" s="307">
        <f t="shared" si="11"/>
        <v>3.5228293141565743</v>
      </c>
    </row>
    <row r="20" spans="2:21" x14ac:dyDescent="0.2">
      <c r="B20" s="273" t="s">
        <v>595</v>
      </c>
      <c r="C20" s="273"/>
      <c r="D20" s="273"/>
      <c r="E20" s="273"/>
      <c r="F20" s="273"/>
      <c r="G20" s="273"/>
      <c r="H20" s="273"/>
      <c r="I20" s="273"/>
      <c r="J20" s="273"/>
      <c r="K20" s="273"/>
      <c r="L20" s="273"/>
      <c r="M20" s="273"/>
      <c r="N20" s="273"/>
      <c r="O20" s="273"/>
      <c r="P20" s="273"/>
      <c r="Q20" s="273"/>
      <c r="R20" s="273"/>
      <c r="S20" s="273"/>
      <c r="T20" s="273"/>
      <c r="U20" s="273"/>
    </row>
    <row r="21" spans="2:21" x14ac:dyDescent="0.2">
      <c r="B21" s="286"/>
      <c r="C21" s="273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</row>
    <row r="22" spans="2:21" x14ac:dyDescent="0.2">
      <c r="B22" s="267" t="s">
        <v>259</v>
      </c>
      <c r="C22" s="302" t="s">
        <v>146</v>
      </c>
      <c r="D22" s="268">
        <f>Výkazy!I$3</f>
        <v>2007</v>
      </c>
      <c r="E22" s="268">
        <f>Výkazy!J$3</f>
        <v>2008</v>
      </c>
      <c r="F22" s="268">
        <f>Výkazy!K$3</f>
        <v>2009</v>
      </c>
      <c r="G22" s="268">
        <f>Výkazy!L$3</f>
        <v>2010</v>
      </c>
      <c r="H22" s="268">
        <f>Výkazy!M$3</f>
        <v>2011</v>
      </c>
      <c r="I22" s="268">
        <f>Výkazy!N$3</f>
        <v>2012</v>
      </c>
      <c r="J22" s="268">
        <f>Výkazy!O$3</f>
        <v>2013</v>
      </c>
      <c r="K22" s="268">
        <f>Výkazy!P$3</f>
        <v>2014</v>
      </c>
      <c r="L22" s="268">
        <f>Výkazy!Q$3</f>
        <v>2015</v>
      </c>
      <c r="M22" s="268">
        <f>Výkazy!R$3</f>
        <v>2016</v>
      </c>
      <c r="N22" s="268">
        <f>Výkazy!S$3</f>
        <v>2017</v>
      </c>
      <c r="O22" s="268">
        <f>Výkazy!T$3</f>
        <v>2018</v>
      </c>
      <c r="P22" s="268">
        <f>Výkazy!U$3</f>
        <v>2019</v>
      </c>
      <c r="Q22" s="268">
        <f>Výkazy!V$3</f>
        <v>2020</v>
      </c>
      <c r="R22" s="268">
        <f>Výkazy!W$3</f>
        <v>2021</v>
      </c>
      <c r="S22" s="268">
        <f>Výkazy!X$3</f>
        <v>2022</v>
      </c>
      <c r="T22" s="268">
        <f>Výkazy!Y$3</f>
        <v>2023</v>
      </c>
      <c r="U22" s="268">
        <f>Výkazy!Z$3</f>
        <v>2024</v>
      </c>
    </row>
    <row r="23" spans="2:21" x14ac:dyDescent="0.2">
      <c r="B23" s="269" t="s">
        <v>260</v>
      </c>
      <c r="C23" s="309">
        <v>0.22</v>
      </c>
      <c r="D23" s="296">
        <f>IF(Výkazy!I162=0,"---",Výkazy!I75/Výkazy!I162*$C23)</f>
        <v>0.24221954914015861</v>
      </c>
      <c r="E23" s="296">
        <f>IF(Výkazy!J162=0,"---",Výkazy!J75/Výkazy!J162*$C23)</f>
        <v>0.27385221108839281</v>
      </c>
      <c r="F23" s="296">
        <f>IF(Výkazy!K162=0,"---",Výkazy!K75/Výkazy!K162*$C23)</f>
        <v>0.30918894156620119</v>
      </c>
      <c r="G23" s="296">
        <f>IF(Výkazy!L162=0,"---",Výkazy!L75/Výkazy!L162*$C23)</f>
        <v>0.30605836783078577</v>
      </c>
      <c r="H23" s="296">
        <f>IF(Výkazy!M162=0,"---",Výkazy!M75/Výkazy!M162*$C23)</f>
        <v>0.34049062421156373</v>
      </c>
      <c r="I23" s="296">
        <f>IF(Výkazy!N162=0,"---",Výkazy!N75/Výkazy!N162*$C23)</f>
        <v>0.30754298818166759</v>
      </c>
      <c r="J23" s="296">
        <f>IF(Výkazy!O162=0,"---",Výkazy!O75/Výkazy!O162*$C23)</f>
        <v>0.40544728529438678</v>
      </c>
      <c r="K23" s="296">
        <f>IF(Výkazy!P162=0,"---",Výkazy!P75/Výkazy!P162*$C23)</f>
        <v>0.463545626490943</v>
      </c>
      <c r="L23" s="296">
        <f>IF(Výkazy!Q162=0,"---",Výkazy!Q75/Výkazy!Q162*$C23)</f>
        <v>0.45462003700083836</v>
      </c>
      <c r="M23" s="296">
        <f>IF(Výkazy!R162=0,"---",Výkazy!R75/Výkazy!R162*$C23)</f>
        <v>0.42650164809786334</v>
      </c>
      <c r="N23" s="296">
        <f>IF(Výkazy!S162=0,"---",Výkazy!S75/Výkazy!S162*$C23)</f>
        <v>0.43810078423924331</v>
      </c>
      <c r="O23" s="296">
        <f>IF(Výkazy!T162=0,"---",Výkazy!T75/Výkazy!T162*$C23)</f>
        <v>0.5510804722790632</v>
      </c>
      <c r="P23" s="296">
        <f>IF(Výkazy!U162=0,"---",Výkazy!U75/Výkazy!U162*$C23)</f>
        <v>0.79532005659095162</v>
      </c>
      <c r="Q23" s="296">
        <f>IF(Výkazy!V162=0,"---",Výkazy!V75/Výkazy!V162*$C23)</f>
        <v>1.1572772833653171</v>
      </c>
      <c r="R23" s="296">
        <f>IF(Výkazy!W162=0,"---",Výkazy!W75/Výkazy!W162*$C23)</f>
        <v>0.42122319060328006</v>
      </c>
      <c r="S23" s="296">
        <f>IF(Výkazy!X162=0,"---",Výkazy!X75/Výkazy!X162*$C23)</f>
        <v>0.43292946573258401</v>
      </c>
      <c r="T23" s="296">
        <f>IF(Výkazy!Y162=0,"---",Výkazy!Y75/Výkazy!Y162*$C23)</f>
        <v>0.52467870292536567</v>
      </c>
      <c r="U23" s="296">
        <f>IF(Výkazy!Z162=0,"---",Výkazy!Z75/Výkazy!Z162*$C23)</f>
        <v>0.65324284760834617</v>
      </c>
    </row>
    <row r="24" spans="2:21" x14ac:dyDescent="0.2">
      <c r="B24" s="269" t="s">
        <v>261</v>
      </c>
      <c r="C24" s="309">
        <v>0.11</v>
      </c>
      <c r="D24" s="296">
        <f>IF(Výkazy!I46=0,"---",'Ziskovost a náklady'!C9/Výkazy!I46*$C24)</f>
        <v>0.16625000000000001</v>
      </c>
      <c r="E24" s="296">
        <f>IF(Výkazy!J46=0,"---",'Ziskovost a náklady'!D9/Výkazy!J46*$C24)</f>
        <v>1392.27</v>
      </c>
      <c r="F24" s="296">
        <f>IF(Výkazy!K46=0,"---",'Ziskovost a náklady'!E9/Výkazy!K46*$C24)</f>
        <v>15.760300426797897</v>
      </c>
      <c r="G24" s="296">
        <f>IF(Výkazy!L46=0,"---",'Ziskovost a náklady'!F9/Výkazy!L46*$C24)</f>
        <v>1.1531883059778554</v>
      </c>
      <c r="H24" s="296">
        <f>IF(Výkazy!M46=0,"---",'Ziskovost a náklady'!G9/Výkazy!M46*$C24)</f>
        <v>13.248457899251914</v>
      </c>
      <c r="I24" s="296">
        <f>IF(Výkazy!N46=0,"---",'Ziskovost a náklady'!H9/Výkazy!N46*$C24)</f>
        <v>1.0669560352895082</v>
      </c>
      <c r="J24" s="296">
        <f>IF(Výkazy!O46=0,"---",'Ziskovost a náklady'!I9/Výkazy!O46*$C24)</f>
        <v>4.2299452430961866</v>
      </c>
      <c r="K24" s="296">
        <f>IF(Výkazy!P46=0,"---",'Ziskovost a náklady'!J9/Výkazy!P46*$C24)</f>
        <v>5.986350838842279</v>
      </c>
      <c r="L24" s="296">
        <f>IF(Výkazy!Q46=0,"---",'Ziskovost a náklady'!K9/Výkazy!Q46*$C24)</f>
        <v>5.1008944091623043</v>
      </c>
      <c r="M24" s="296">
        <f>IF(Výkazy!R46=0,"---",'Ziskovost a náklady'!L9/Výkazy!R46*$C24)</f>
        <v>1.9436798951714906</v>
      </c>
      <c r="N24" s="296">
        <f>IF(Výkazy!S46=0,"---",'Ziskovost a náklady'!M9/Výkazy!S46*$C24)</f>
        <v>1.1711690455052279</v>
      </c>
      <c r="O24" s="296">
        <f>IF(Výkazy!T46=0,"---",'Ziskovost a náklady'!N9/Výkazy!T46*$C24)</f>
        <v>4.3954397277894577</v>
      </c>
      <c r="P24" s="296">
        <f>IF(Výkazy!U46=0,"---",'Ziskovost a náklady'!O9/Výkazy!U46*$C24)</f>
        <v>6.4002481502143258</v>
      </c>
      <c r="Q24" s="296">
        <f>IF(Výkazy!V46=0,"---",'Ziskovost a náklady'!P9/Výkazy!V46*$C24)</f>
        <v>0.70738477164909153</v>
      </c>
      <c r="R24" s="296">
        <f>IF(Výkazy!W46=0,"---",'Ziskovost a náklady'!Q9/Výkazy!W46*$C24)</f>
        <v>0.15655315799155073</v>
      </c>
      <c r="S24" s="296">
        <f>IF(Výkazy!X46=0,"---",'Ziskovost a náklady'!R9/Výkazy!X46*$C24)</f>
        <v>0.13397756749910306</v>
      </c>
      <c r="T24" s="296">
        <f>IF(Výkazy!Y46=0,"---",'Ziskovost a náklady'!S9/Výkazy!Y46*$C24)</f>
        <v>0.76702812376546592</v>
      </c>
      <c r="U24" s="296">
        <f>IF(Výkazy!Z46=0,"---",'Ziskovost a náklady'!T9/Výkazy!Z46*$C24)</f>
        <v>3.0314411328840309</v>
      </c>
    </row>
    <row r="25" spans="2:21" x14ac:dyDescent="0.2">
      <c r="B25" s="269" t="s">
        <v>262</v>
      </c>
      <c r="C25" s="309">
        <v>0.33</v>
      </c>
      <c r="D25" s="296">
        <f>IF(Výkazy!I75=0,"---",'Ziskovost a náklady'!C9/Výkazy!I75*$C25)</f>
        <v>2.6639825193218144E-3</v>
      </c>
      <c r="E25" s="296">
        <f>IF(Výkazy!J75=0,"---",'Ziskovost a náklady'!D9/Výkazy!J75*$C25)</f>
        <v>5.6700061087354918E-2</v>
      </c>
      <c r="F25" s="296">
        <f>IF(Výkazy!K75=0,"---",'Ziskovost a náklady'!E9/Výkazy!K75*$C25)</f>
        <v>4.8791541081909653E-2</v>
      </c>
      <c r="G25" s="296">
        <f>IF(Výkazy!L75=0,"---",'Ziskovost a náklady'!F9/Výkazy!L75*$C25)</f>
        <v>1.7841358575660133E-3</v>
      </c>
      <c r="H25" s="296">
        <f>IF(Výkazy!M75=0,"---",'Ziskovost a náklady'!G9/Výkazy!M75*$C25)</f>
        <v>4.4496838994168467E-2</v>
      </c>
      <c r="I25" s="296">
        <f>IF(Výkazy!N75=0,"---",'Ziskovost a náklady'!H9/Výkazy!N75*$C25)</f>
        <v>1.1382612301779263E-2</v>
      </c>
      <c r="J25" s="296">
        <f>IF(Výkazy!O75=0,"---",'Ziskovost a náklady'!I9/Výkazy!O75*$C25)</f>
        <v>4.0745502953561608E-2</v>
      </c>
      <c r="K25" s="296">
        <f>IF(Výkazy!P75=0,"---",'Ziskovost a náklady'!J9/Výkazy!P75*$C25)</f>
        <v>4.2643762341458696E-2</v>
      </c>
      <c r="L25" s="296">
        <f>IF(Výkazy!Q75=0,"---",'Ziskovost a náklady'!K9/Výkazy!Q75*$C25)</f>
        <v>4.3181926276901893E-2</v>
      </c>
      <c r="M25" s="296">
        <f>IF(Výkazy!R75=0,"---",'Ziskovost a náklady'!L9/Výkazy!R75*$C25)</f>
        <v>1.5952566141630507E-2</v>
      </c>
      <c r="N25" s="296">
        <f>IF(Výkazy!S75=0,"---",'Ziskovost a náklady'!M9/Výkazy!S75*$C25)</f>
        <v>8.3463633797043121E-3</v>
      </c>
      <c r="O25" s="296">
        <f>IF(Výkazy!T75=0,"---",'Ziskovost a náklady'!N9/Výkazy!T75*$C25)</f>
        <v>2.2681842000305357E-2</v>
      </c>
      <c r="P25" s="296">
        <f>IF(Výkazy!U75=0,"---",'Ziskovost a náklady'!O9/Výkazy!U75*$C25)</f>
        <v>3.2921549432087478E-2</v>
      </c>
      <c r="Q25" s="296">
        <f>IF(Výkazy!V75=0,"---",'Ziskovost a náklady'!P9/Výkazy!V75*$C25)</f>
        <v>2.1635803849013734E-3</v>
      </c>
      <c r="R25" s="296">
        <f>IF(Výkazy!W75=0,"---",'Ziskovost a náklady'!Q9/Výkazy!W75*$C25)</f>
        <v>4.5503482665239296E-4</v>
      </c>
      <c r="S25" s="296">
        <f>IF(Výkazy!X75=0,"---",'Ziskovost a náklady'!R9/Výkazy!X75*$C25)</f>
        <v>1.7869561137184885E-3</v>
      </c>
      <c r="T25" s="296">
        <f>IF(Výkazy!Y75=0,"---",'Ziskovost a náklady'!S9/Výkazy!Y75*$C25)</f>
        <v>8.5005158900605185E-3</v>
      </c>
      <c r="U25" s="296">
        <f>IF(Výkazy!Z75=0,"---",'Ziskovost a náklady'!T9/Výkazy!Z75*$C25)</f>
        <v>2.4935640516530706E-2</v>
      </c>
    </row>
    <row r="26" spans="2:21" x14ac:dyDescent="0.2">
      <c r="B26" s="269" t="s">
        <v>263</v>
      </c>
      <c r="C26" s="309">
        <v>0.52</v>
      </c>
      <c r="D26" s="296">
        <f>IF(Výkazy!I75=0,"---",Trendy!D5/Výkazy!I75*$C26)</f>
        <v>1.0697001578116783</v>
      </c>
      <c r="E26" s="296">
        <f>IF(Výkazy!J75=0,"---",Trendy!E5/Výkazy!J75*$C26)</f>
        <v>1.0337316228873956</v>
      </c>
      <c r="F26" s="296">
        <f>IF(Výkazy!K75=0,"---",Trendy!F5/Výkazy!K75*$C26)</f>
        <v>1.0805384912928604</v>
      </c>
      <c r="G26" s="296">
        <f>IF(Výkazy!L75=0,"---",Trendy!G5/Výkazy!L75*$C26)</f>
        <v>1.3048245881195992</v>
      </c>
      <c r="H26" s="296">
        <f>IF(Výkazy!M75=0,"---",Trendy!H5/Výkazy!M75*$C26)</f>
        <v>1.5925130648606356</v>
      </c>
      <c r="I26" s="296">
        <f>IF(Výkazy!N75=0,"---",Trendy!I5/Výkazy!N75*$C26)</f>
        <v>1.3225074311536438</v>
      </c>
      <c r="J26" s="296">
        <f>IF(Výkazy!O75=0,"---",Trendy!J5/Výkazy!O75*$C26)</f>
        <v>1.1317817272506359</v>
      </c>
      <c r="K26" s="296">
        <f>IF(Výkazy!P75=0,"---",Trendy!K5/Výkazy!P75*$C26)</f>
        <v>1.1012789789077713</v>
      </c>
      <c r="L26" s="296">
        <f>IF(Výkazy!Q75=0,"---",Trendy!L5/Výkazy!Q75*$C26)</f>
        <v>0.86929616848189295</v>
      </c>
      <c r="M26" s="296">
        <f>IF(Výkazy!R75=0,"---",Trendy!M5/Výkazy!R75*$C26)</f>
        <v>0.69046560086634556</v>
      </c>
      <c r="N26" s="296">
        <f>IF(Výkazy!S75=0,"---",Trendy!N5/Výkazy!S75*$C26)</f>
        <v>0.7473520684605407</v>
      </c>
      <c r="O26" s="296">
        <f>IF(Výkazy!T75=0,"---",Trendy!O5/Výkazy!T75*$C26)</f>
        <v>0.75857747377037543</v>
      </c>
      <c r="P26" s="296">
        <f>IF(Výkazy!U75=0,"---",Trendy!P5/Výkazy!U75*$C26)</f>
        <v>0.94385863435253226</v>
      </c>
      <c r="Q26" s="296">
        <f>IF(Výkazy!V75=0,"---",Trendy!Q5/Výkazy!V75*$C26)</f>
        <v>0.74903712911393106</v>
      </c>
      <c r="R26" s="296">
        <f>IF(Výkazy!W75=0,"---",Trendy!R5/Výkazy!W75*$C26)</f>
        <v>0.48101287075535393</v>
      </c>
      <c r="S26" s="296">
        <f>IF(Výkazy!X75=0,"---",Trendy!S5/Výkazy!X75*$C26)</f>
        <v>0.49935945470923576</v>
      </c>
      <c r="T26" s="296">
        <f>IF(Výkazy!Y75=0,"---",Trendy!T5/Výkazy!Y75*$C26)</f>
        <v>0.57439697994170447</v>
      </c>
      <c r="U26" s="296">
        <f>IF(Výkazy!Z75=0,"---",Trendy!U5/Výkazy!Z75*$C26)</f>
        <v>0.46742694361846987</v>
      </c>
    </row>
    <row r="27" spans="2:21" x14ac:dyDescent="0.2">
      <c r="B27" s="269" t="s">
        <v>264</v>
      </c>
      <c r="C27" s="309">
        <v>0.1</v>
      </c>
      <c r="D27" s="296">
        <f>IF(Trendy!D14=0,"---",Výkazy!I105/Trendy!D14*$C27)</f>
        <v>8.9314348021294343E-2</v>
      </c>
      <c r="E27" s="296">
        <f>IF(Trendy!E14=0,"---",Výkazy!J105/Trendy!E14*$C27)</f>
        <v>0.10301650414269531</v>
      </c>
      <c r="F27" s="296">
        <f>IF(Trendy!F14=0,"---",Výkazy!K105/Trendy!F14*$C27)</f>
        <v>0.1103812348038371</v>
      </c>
      <c r="G27" s="296">
        <f>IF(Trendy!G14=0,"---",Výkazy!L105/Trendy!G14*$C27)</f>
        <v>9.8142865995773959E-2</v>
      </c>
      <c r="H27" s="296">
        <f>IF(Trendy!H14=0,"---",Výkazy!M105/Trendy!H14*$C27)</f>
        <v>0.10316447928037949</v>
      </c>
      <c r="I27" s="296">
        <f>IF(Trendy!I14=0,"---",Výkazy!N105/Trendy!I14*$C27)</f>
        <v>0.10608667526520438</v>
      </c>
      <c r="J27" s="296">
        <f>IF(Trendy!J14=0,"---",Výkazy!O105/Trendy!J14*$C27)</f>
        <v>9.2990924316153217E-2</v>
      </c>
      <c r="K27" s="296">
        <f>IF(Trendy!K14=0,"---",Výkazy!P105/Trendy!K14*$C27)</f>
        <v>8.2991292417468276E-2</v>
      </c>
      <c r="L27" s="296">
        <f>IF(Trendy!L14=0,"---",Výkazy!Q105/Trendy!L14*$C27)</f>
        <v>0.1029634676759273</v>
      </c>
      <c r="M27" s="296">
        <f>IF(Trendy!M14=0,"---",Výkazy!R105/Trendy!M14*$C27)</f>
        <v>0.1081871106151453</v>
      </c>
      <c r="N27" s="296">
        <f>IF(Trendy!N14=0,"---",Výkazy!S105/Trendy!N14*$C27)</f>
        <v>0.11243532328154765</v>
      </c>
      <c r="O27" s="296">
        <f>IF(Trendy!O14=0,"---",Výkazy!T105/Trendy!O14*$C27)</f>
        <v>0.18801223614386453</v>
      </c>
      <c r="P27" s="296">
        <f>IF(Trendy!P14=0,"---",Výkazy!U105/Trendy!P14*$C27)</f>
        <v>0.26214792638141654</v>
      </c>
      <c r="Q27" s="296">
        <f>IF(Trendy!Q14=0,"---",Výkazy!V105/Trendy!Q14*$C27)</f>
        <v>0.32050511511499047</v>
      </c>
      <c r="R27" s="296">
        <f>IF(Trendy!R14=0,"---",Výkazy!W105/Trendy!R14*$C27)</f>
        <v>0.20135560056295565</v>
      </c>
      <c r="S27" s="296">
        <f>IF(Trendy!S14=0,"---",Výkazy!X105/Trendy!S14*$C27)</f>
        <v>0.21368214014196157</v>
      </c>
      <c r="T27" s="296">
        <f>IF(Trendy!T14=0,"---",Výkazy!Y105/Trendy!T14*$C27)</f>
        <v>0.44047337413198306</v>
      </c>
      <c r="U27" s="296">
        <f>IF(Trendy!U14=0,"---",Výkazy!Z105/Trendy!U14*$C27)</f>
        <v>0.58186809621922864</v>
      </c>
    </row>
    <row r="28" spans="2:21" x14ac:dyDescent="0.2">
      <c r="B28" s="269" t="s">
        <v>265</v>
      </c>
      <c r="C28" s="303">
        <v>-16.8</v>
      </c>
      <c r="D28" s="296">
        <f>IF(Trendy!D5=0,"---",Trendy!D16/Trendy!D5*$C28)</f>
        <v>0</v>
      </c>
      <c r="E28" s="296">
        <f>IF(Trendy!E5=0,"---",Trendy!E16/Trendy!E5*$C28)</f>
        <v>0</v>
      </c>
      <c r="F28" s="296">
        <f>IF(Trendy!F5=0,"---",Trendy!F16/Trendy!F5*$C28)</f>
        <v>0</v>
      </c>
      <c r="G28" s="296">
        <f>IF(Trendy!G5=0,"---",Trendy!G16/Trendy!G5*$C28)</f>
        <v>0</v>
      </c>
      <c r="H28" s="296">
        <f>IF(Trendy!H5=0,"---",Trendy!H16/Trendy!H5*$C28)</f>
        <v>0</v>
      </c>
      <c r="I28" s="296">
        <f>IF(Trendy!I5=0,"---",Trendy!I16/Trendy!I5*$C28)</f>
        <v>0</v>
      </c>
      <c r="J28" s="296">
        <f>IF(Trendy!J5=0,"---",Trendy!J16/Trendy!J5*$C28)</f>
        <v>0</v>
      </c>
      <c r="K28" s="296">
        <f>IF(Trendy!K5=0,"---",Trendy!K16/Trendy!K5*$C28)</f>
        <v>0</v>
      </c>
      <c r="L28" s="296">
        <f>IF(Trendy!L5=0,"---",Trendy!L16/Trendy!L5*$C28)</f>
        <v>0</v>
      </c>
      <c r="M28" s="296">
        <f>IF(Trendy!M5=0,"---",Trendy!M16/Trendy!M5*$C28)</f>
        <v>0</v>
      </c>
      <c r="N28" s="296">
        <f>IF(Trendy!N5=0,"---",Trendy!N16/Trendy!N5*$C28)</f>
        <v>0</v>
      </c>
      <c r="O28" s="296">
        <f>IF(Trendy!O5=0,"---",Trendy!O16/Trendy!O5*$C28)</f>
        <v>0</v>
      </c>
      <c r="P28" s="296">
        <f>IF(Trendy!P5=0,"---",Trendy!P16/Trendy!P5*$C28)</f>
        <v>0</v>
      </c>
      <c r="Q28" s="296">
        <f>IF(Trendy!Q5=0,"---",Trendy!Q16/Trendy!Q5*$C28)</f>
        <v>0</v>
      </c>
      <c r="R28" s="296">
        <f>IF(Trendy!R5=0,"---",Trendy!R16/Trendy!R5*$C28)</f>
        <v>0</v>
      </c>
      <c r="S28" s="296">
        <f>IF(Trendy!S5=0,"---",Trendy!S16/Trendy!S5*$C28)</f>
        <v>0</v>
      </c>
      <c r="T28" s="296">
        <f>IF(Trendy!T5=0,"---",Trendy!T16/Trendy!T5*$C28)</f>
        <v>0</v>
      </c>
      <c r="U28" s="296">
        <f>IF(Trendy!U5=0,"---",Trendy!U16/Trendy!U5*$C28)</f>
        <v>0</v>
      </c>
    </row>
    <row r="29" spans="2:21" x14ac:dyDescent="0.2">
      <c r="B29" s="304" t="s">
        <v>153</v>
      </c>
      <c r="C29" s="305"/>
      <c r="D29" s="306">
        <f t="shared" ref="D29:I29" si="12">SUM(D23:D28)</f>
        <v>1.570148037492453</v>
      </c>
      <c r="E29" s="306">
        <f t="shared" si="12"/>
        <v>1393.7373003992059</v>
      </c>
      <c r="F29" s="307">
        <f t="shared" si="12"/>
        <v>17.309200635542709</v>
      </c>
      <c r="G29" s="307">
        <f t="shared" si="12"/>
        <v>2.8639982637815802</v>
      </c>
      <c r="H29" s="307">
        <f t="shared" si="12"/>
        <v>15.329122906598663</v>
      </c>
      <c r="I29" s="307">
        <f t="shared" si="12"/>
        <v>2.8144757421918034</v>
      </c>
      <c r="J29" s="307">
        <f t="shared" ref="J29:K29" si="13">SUM(J23:J28)</f>
        <v>5.9009106829109239</v>
      </c>
      <c r="K29" s="307">
        <f t="shared" si="13"/>
        <v>7.6768104989999202</v>
      </c>
      <c r="L29" s="307">
        <f t="shared" ref="L29:M29" si="14">SUM(L23:L28)</f>
        <v>6.5709560085978644</v>
      </c>
      <c r="M29" s="307">
        <f t="shared" si="14"/>
        <v>3.1847868208924757</v>
      </c>
      <c r="N29" s="307">
        <f t="shared" ref="N29:Q29" si="15">SUM(N23:N28)</f>
        <v>2.4774035848662641</v>
      </c>
      <c r="O29" s="307">
        <f t="shared" si="15"/>
        <v>5.9157917519830665</v>
      </c>
      <c r="P29" s="307">
        <f t="shared" si="15"/>
        <v>8.4344963169713143</v>
      </c>
      <c r="Q29" s="307">
        <f t="shared" si="15"/>
        <v>2.9363678796282313</v>
      </c>
      <c r="R29" s="338">
        <f t="shared" ref="R29:S29" si="16">SUM(R23:R28)</f>
        <v>1.2605998547397927</v>
      </c>
      <c r="S29" s="307">
        <f t="shared" si="16"/>
        <v>1.2817355841966027</v>
      </c>
      <c r="T29" s="307">
        <f t="shared" ref="T29:U29" si="17">SUM(T23:T28)</f>
        <v>2.3150776966545799</v>
      </c>
      <c r="U29" s="307">
        <f t="shared" si="17"/>
        <v>4.7589146608466066</v>
      </c>
    </row>
    <row r="30" spans="2:21" x14ac:dyDescent="0.2">
      <c r="B30" s="273" t="s">
        <v>594</v>
      </c>
      <c r="C30" s="302"/>
      <c r="D30" s="273"/>
      <c r="E30" s="273"/>
      <c r="F30" s="273"/>
      <c r="G30" s="273"/>
      <c r="H30" s="273"/>
      <c r="I30" s="273"/>
      <c r="J30" s="273"/>
      <c r="K30" s="273"/>
      <c r="L30" s="273"/>
      <c r="M30" s="273"/>
      <c r="N30" s="273"/>
      <c r="O30" s="273"/>
      <c r="P30" s="273"/>
      <c r="Q30" s="273"/>
      <c r="R30" s="273"/>
      <c r="S30" s="273"/>
      <c r="T30" s="273"/>
      <c r="U30" s="273"/>
    </row>
    <row r="31" spans="2:21" x14ac:dyDescent="0.2">
      <c r="B31" s="286"/>
      <c r="C31" s="273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P31" s="308"/>
      <c r="Q31" s="308"/>
      <c r="R31" s="308"/>
      <c r="S31" s="308"/>
      <c r="T31" s="308"/>
      <c r="U31" s="308"/>
    </row>
    <row r="32" spans="2:21" x14ac:dyDescent="0.2">
      <c r="B32" s="267" t="s">
        <v>268</v>
      </c>
      <c r="C32" s="302" t="s">
        <v>146</v>
      </c>
      <c r="D32" s="268">
        <f>Výkazy!I$3</f>
        <v>2007</v>
      </c>
      <c r="E32" s="268">
        <f>Výkazy!J$3</f>
        <v>2008</v>
      </c>
      <c r="F32" s="268">
        <f>Výkazy!K$3</f>
        <v>2009</v>
      </c>
      <c r="G32" s="268">
        <f>Výkazy!L$3</f>
        <v>2010</v>
      </c>
      <c r="H32" s="268">
        <f>Výkazy!M$3</f>
        <v>2011</v>
      </c>
      <c r="I32" s="268">
        <f>Výkazy!N$3</f>
        <v>2012</v>
      </c>
      <c r="J32" s="268">
        <f>Výkazy!O$3</f>
        <v>2013</v>
      </c>
      <c r="K32" s="268">
        <f>Výkazy!P$3</f>
        <v>2014</v>
      </c>
      <c r="L32" s="268">
        <f>Výkazy!Q$3</f>
        <v>2015</v>
      </c>
      <c r="M32" s="268">
        <f>Výkazy!R$3</f>
        <v>2016</v>
      </c>
      <c r="N32" s="268">
        <f>Výkazy!S$3</f>
        <v>2017</v>
      </c>
      <c r="O32" s="268">
        <f>Výkazy!T$3</f>
        <v>2018</v>
      </c>
      <c r="P32" s="268">
        <f>Výkazy!U$3</f>
        <v>2019</v>
      </c>
      <c r="Q32" s="268">
        <f>Výkazy!V$3</f>
        <v>2020</v>
      </c>
      <c r="R32" s="268">
        <f>Výkazy!W$3</f>
        <v>2021</v>
      </c>
      <c r="S32" s="268">
        <f>Výkazy!X$3</f>
        <v>2022</v>
      </c>
      <c r="T32" s="268">
        <f>Výkazy!Y$3</f>
        <v>2023</v>
      </c>
      <c r="U32" s="268">
        <f>Výkazy!Z$3</f>
        <v>2024</v>
      </c>
    </row>
    <row r="33" spans="2:21" x14ac:dyDescent="0.2">
      <c r="B33" s="269" t="s">
        <v>260</v>
      </c>
      <c r="C33" s="309">
        <v>-1.7000000000000001E-2</v>
      </c>
      <c r="D33" s="296">
        <f>IF(Výkazy!I162=0,"---",Výkazy!I75/Výkazy!I162*$C33)</f>
        <v>-1.8716965160830441E-2</v>
      </c>
      <c r="E33" s="296">
        <f>IF(Výkazy!J162=0,"---",Výkazy!J75/Výkazy!J162*$C33)</f>
        <v>-2.1161307220466719E-2</v>
      </c>
      <c r="F33" s="296">
        <f>IF(Výkazy!K162=0,"---",Výkazy!K75/Výkazy!K162*$C33)</f>
        <v>-2.3891872757388275E-2</v>
      </c>
      <c r="G33" s="296">
        <f>IF(Výkazy!L162=0,"---",Výkazy!L75/Výkazy!L162*$C33)</f>
        <v>-2.3649964786924355E-2</v>
      </c>
      <c r="H33" s="296">
        <f>IF(Výkazy!M162=0,"---",Výkazy!M75/Výkazy!M162*$C33)</f>
        <v>-2.6310639143620834E-2</v>
      </c>
      <c r="I33" s="296">
        <f>IF(Výkazy!N162=0,"---",Výkazy!N75/Výkazy!N162*$C33)</f>
        <v>-2.3764685450401588E-2</v>
      </c>
      <c r="J33" s="296">
        <f>IF(Výkazy!O162=0,"---",Výkazy!O75/Výkazy!O162*$C33)</f>
        <v>-3.1330017500020797E-2</v>
      </c>
      <c r="K33" s="296">
        <f>IF(Výkazy!P162=0,"---",Výkazy!P75/Výkazy!P162*$C33)</f>
        <v>-3.5819434774300142E-2</v>
      </c>
      <c r="L33" s="296">
        <f>IF(Výkazy!Q162=0,"---",Výkazy!Q75/Výkazy!Q162*$C33)</f>
        <v>-3.5129730131882968E-2</v>
      </c>
      <c r="M33" s="296">
        <f>IF(Výkazy!R162=0,"---",Výkazy!R75/Výkazy!R162*$C33)</f>
        <v>-3.29569455348349E-2</v>
      </c>
      <c r="N33" s="296">
        <f>IF(Výkazy!S162=0,"---",Výkazy!S75/Výkazy!S162*$C33)</f>
        <v>-3.3853242418486987E-2</v>
      </c>
      <c r="O33" s="296">
        <f>IF(Výkazy!T162=0,"---",Výkazy!T75/Výkazy!T162*$C33)</f>
        <v>-4.2583491039745798E-2</v>
      </c>
      <c r="P33" s="296">
        <f>IF(Výkazy!U162=0,"---",Výkazy!U75/Výkazy!U162*$C33)</f>
        <v>-6.145654982748263E-2</v>
      </c>
      <c r="Q33" s="296">
        <f>IF(Výkazy!V162=0,"---",Výkazy!V75/Výkazy!V162*$C33)</f>
        <v>-8.9425971896410883E-2</v>
      </c>
      <c r="R33" s="296">
        <f>IF(Výkazy!W162=0,"---",Výkazy!W75/Výkazy!W162*$C33)</f>
        <v>-3.254906472843528E-2</v>
      </c>
      <c r="S33" s="296">
        <f>IF(Výkazy!X162=0,"---",Výkazy!X75/Výkazy!X162*$C33)</f>
        <v>-3.3453640533881494E-2</v>
      </c>
      <c r="T33" s="296">
        <f>IF(Výkazy!Y162=0,"---",Výkazy!Y75/Výkazy!Y162*$C33)</f>
        <v>-4.054335431696008E-2</v>
      </c>
      <c r="U33" s="296">
        <f>IF(Výkazy!Z162=0,"---",Výkazy!Z75/Výkazy!Z162*$C33)</f>
        <v>-5.0477856406099475E-2</v>
      </c>
    </row>
    <row r="34" spans="2:21" x14ac:dyDescent="0.2">
      <c r="B34" s="269" t="s">
        <v>262</v>
      </c>
      <c r="C34" s="309">
        <v>4.5730000000000004</v>
      </c>
      <c r="D34" s="296">
        <f>IF(Výkazy!I75=0,"---",'Ziskovost a náklady'!C9/Výkazy!I75*$C34)</f>
        <v>3.6916339578359568E-2</v>
      </c>
      <c r="E34" s="296">
        <f>IF(Výkazy!J75=0,"---",'Ziskovost a náklady'!D9/Výkazy!J75*$C34)</f>
        <v>0.78572539197719404</v>
      </c>
      <c r="F34" s="296">
        <f>IF(Výkazy!K75=0,"---",'Ziskovost a náklady'!E9/Výkazy!K75*$C34)</f>
        <v>0.67613247687143296</v>
      </c>
      <c r="G34" s="296">
        <f>IF(Výkazy!L75=0,"---",'Ziskovost a náklady'!F9/Výkazy!L75*$C34)</f>
        <v>2.4723797808028424E-2</v>
      </c>
      <c r="H34" s="296">
        <f>IF(Výkazy!M75=0,"---",'Ziskovost a náklady'!G9/Výkazy!M75*$C34)</f>
        <v>0.61661831733434069</v>
      </c>
      <c r="I34" s="296">
        <f>IF(Výkazy!N75=0,"---",'Ziskovost a náklady'!H9/Výkazy!N75*$C34)</f>
        <v>0.15773541229101992</v>
      </c>
      <c r="J34" s="296">
        <f>IF(Výkazy!O75=0,"---",'Ziskovost a náklady'!I9/Výkazy!O75*$C34)</f>
        <v>0.56463389395950669</v>
      </c>
      <c r="K34" s="296">
        <f>IF(Výkazy!P75=0,"---",'Ziskovost a náklady'!J9/Výkazy!P75*$C34)</f>
        <v>0.5909391672348201</v>
      </c>
      <c r="L34" s="296">
        <f>IF(Výkazy!Q75=0,"---",'Ziskovost a náklady'!K9/Výkazy!Q75*$C34)</f>
        <v>0.59839681474021933</v>
      </c>
      <c r="M34" s="296">
        <f>IF(Výkazy!R75=0,"---",'Ziskovost a náklady'!L9/Výkazy!R75*$C34)</f>
        <v>0.22106389383538277</v>
      </c>
      <c r="N34" s="296">
        <f>IF(Výkazy!S75=0,"---",'Ziskovost a náklady'!M9/Výkazy!S75*$C34)</f>
        <v>0.11566036283450855</v>
      </c>
      <c r="O34" s="296">
        <f>IF(Výkazy!T75=0,"---",'Ziskovost a náklady'!N9/Výkazy!T75*$C34)</f>
        <v>0.31431534384059517</v>
      </c>
      <c r="P34" s="296">
        <f>IF(Výkazy!U75=0,"---",'Ziskovost a náklady'!O9/Výkazy!U75*$C34)</f>
        <v>0.4562128653119274</v>
      </c>
      <c r="Q34" s="296">
        <f>IF(Výkazy!V75=0,"---",'Ziskovost a náklady'!P9/Výkazy!V75*$C34)</f>
        <v>2.9981979091375701E-2</v>
      </c>
      <c r="R34" s="296">
        <f>IF(Výkazy!W75=0,"---",'Ziskovost a náklady'!Q9/Výkazy!W75*$C34)</f>
        <v>6.3056795826708879E-3</v>
      </c>
      <c r="S34" s="296">
        <f>IF(Výkazy!X75=0,"---",'Ziskovost a náklady'!R9/Výkazy!X75*$C34)</f>
        <v>2.4762879721317115E-2</v>
      </c>
      <c r="T34" s="296">
        <f>IF(Výkazy!Y75=0,"---",'Ziskovost a náklady'!S9/Výkazy!Y75*$C34)</f>
        <v>0.11779654292499014</v>
      </c>
      <c r="U34" s="296">
        <f>IF(Výkazy!Z75=0,"---",'Ziskovost a náklady'!T9/Výkazy!Z75*$C34)</f>
        <v>0.34554752752149975</v>
      </c>
    </row>
    <row r="35" spans="2:21" x14ac:dyDescent="0.2">
      <c r="B35" s="269" t="s">
        <v>263</v>
      </c>
      <c r="C35" s="309">
        <v>0.48099999999999998</v>
      </c>
      <c r="D35" s="296">
        <f>IF(Výkazy!I75=0,"---",Trendy!D5/Výkazy!I75*$C35)</f>
        <v>0.9894726459758022</v>
      </c>
      <c r="E35" s="296">
        <f>IF(Výkazy!J75=0,"---",Trendy!E5/Výkazy!J75*$C35)</f>
        <v>0.95620175117084094</v>
      </c>
      <c r="F35" s="296">
        <f>IF(Výkazy!K75=0,"---",Trendy!F5/Výkazy!K75*$C35)</f>
        <v>0.99949810444589593</v>
      </c>
      <c r="G35" s="296">
        <f>IF(Výkazy!L75=0,"---",Trendy!G5/Výkazy!L75*$C35)</f>
        <v>1.2069627440106292</v>
      </c>
      <c r="H35" s="296">
        <f>IF(Výkazy!M75=0,"---",Trendy!H5/Výkazy!M75*$C35)</f>
        <v>1.4730745849960878</v>
      </c>
      <c r="I35" s="296">
        <f>IF(Výkazy!N75=0,"---",Trendy!I5/Výkazy!N75*$C35)</f>
        <v>1.2233193738171204</v>
      </c>
      <c r="J35" s="296">
        <f>IF(Výkazy!O75=0,"---",Trendy!J5/Výkazy!O75*$C35)</f>
        <v>1.0468980977068381</v>
      </c>
      <c r="K35" s="296">
        <f>IF(Výkazy!P75=0,"---",Trendy!K5/Výkazy!P75*$C35)</f>
        <v>1.0186830554896884</v>
      </c>
      <c r="L35" s="296">
        <f>IF(Výkazy!Q75=0,"---",Trendy!L5/Výkazy!Q75*$C35)</f>
        <v>0.80409895584575097</v>
      </c>
      <c r="M35" s="296">
        <f>IF(Výkazy!R75=0,"---",Trendy!M5/Výkazy!R75*$C35)</f>
        <v>0.63868068080136964</v>
      </c>
      <c r="N35" s="296">
        <f>IF(Výkazy!S75=0,"---",Trendy!N5/Výkazy!S75*$C35)</f>
        <v>0.69130066332600004</v>
      </c>
      <c r="O35" s="296">
        <f>IF(Výkazy!T75=0,"---",Trendy!O5/Výkazy!T75*$C35)</f>
        <v>0.70168416323759719</v>
      </c>
      <c r="P35" s="296">
        <f>IF(Výkazy!U75=0,"---",Trendy!P5/Výkazy!U75*$C35)</f>
        <v>0.87306923677609227</v>
      </c>
      <c r="Q35" s="296">
        <f>IF(Výkazy!V75=0,"---",Trendy!Q5/Výkazy!V75*$C35)</f>
        <v>0.69285934443038621</v>
      </c>
      <c r="R35" s="296">
        <f>IF(Výkazy!W75=0,"---",Trendy!R5/Výkazy!W75*$C35)</f>
        <v>0.44493690544870235</v>
      </c>
      <c r="S35" s="296">
        <f>IF(Výkazy!X75=0,"---",Trendy!S5/Výkazy!X75*$C35)</f>
        <v>0.46190749560604305</v>
      </c>
      <c r="T35" s="296">
        <f>IF(Výkazy!Y75=0,"---",Trendy!T5/Výkazy!Y75*$C35)</f>
        <v>0.53131720644607661</v>
      </c>
      <c r="U35" s="296">
        <f>IF(Výkazy!Z75=0,"---",Trendy!U5/Výkazy!Z75*$C35)</f>
        <v>0.43236992284708459</v>
      </c>
    </row>
    <row r="36" spans="2:21" x14ac:dyDescent="0.2">
      <c r="B36" s="269" t="s">
        <v>264</v>
      </c>
      <c r="C36" s="309">
        <v>1.4999999999999999E-2</v>
      </c>
      <c r="D36" s="296">
        <f>IF(Trendy!D14=0,"---",Výkazy!I105/Trendy!D14*$C36)</f>
        <v>1.339715220319415E-2</v>
      </c>
      <c r="E36" s="296">
        <f>IF(Trendy!E14=0,"---",Výkazy!J105/Trendy!E14*$C36)</f>
        <v>1.5452475621404295E-2</v>
      </c>
      <c r="F36" s="296">
        <f>IF(Trendy!F14=0,"---",Výkazy!K105/Trendy!F14*$C36)</f>
        <v>1.6557185220575563E-2</v>
      </c>
      <c r="G36" s="296">
        <f>IF(Trendy!G14=0,"---",Výkazy!L105/Trendy!G14*$C36)</f>
        <v>1.4721429899366093E-2</v>
      </c>
      <c r="H36" s="296">
        <f>IF(Trendy!H14=0,"---",Výkazy!M105/Trendy!H14*$C36)</f>
        <v>1.5474671892056922E-2</v>
      </c>
      <c r="I36" s="296">
        <f>IF(Trendy!I14=0,"---",Výkazy!N105/Trendy!I14*$C36)</f>
        <v>1.5913001289780654E-2</v>
      </c>
      <c r="J36" s="296">
        <f>IF(Trendy!J14=0,"---",Výkazy!O105/Trendy!J14*$C36)</f>
        <v>1.3948638647422981E-2</v>
      </c>
      <c r="K36" s="296">
        <f>IF(Trendy!K14=0,"---",Výkazy!P105/Trendy!K14*$C36)</f>
        <v>1.2448693862620239E-2</v>
      </c>
      <c r="L36" s="296">
        <f>IF(Trendy!L14=0,"---",Výkazy!Q105/Trendy!L14*$C36)</f>
        <v>1.5444520151389094E-2</v>
      </c>
      <c r="M36" s="296">
        <f>IF(Trendy!M14=0,"---",Výkazy!R105/Trendy!M14*$C36)</f>
        <v>1.6228066592271793E-2</v>
      </c>
      <c r="N36" s="296">
        <f>IF(Trendy!N14=0,"---",Výkazy!S105/Trendy!N14*$C36)</f>
        <v>1.6865298492232145E-2</v>
      </c>
      <c r="O36" s="296">
        <f>IF(Trendy!O14=0,"---",Výkazy!T105/Trendy!O14*$C36)</f>
        <v>2.8201835421579679E-2</v>
      </c>
      <c r="P36" s="296">
        <f>IF(Trendy!P14=0,"---",Výkazy!U105/Trendy!P14*$C36)</f>
        <v>3.9322188957212484E-2</v>
      </c>
      <c r="Q36" s="296">
        <f>IF(Trendy!Q14=0,"---",Výkazy!V105/Trendy!Q14*$C36)</f>
        <v>4.8075767267248569E-2</v>
      </c>
      <c r="R36" s="296">
        <f>IF(Trendy!R14=0,"---",Výkazy!W105/Trendy!R14*$C36)</f>
        <v>3.0203340084443343E-2</v>
      </c>
      <c r="S36" s="296">
        <f>IF(Trendy!S14=0,"---",Výkazy!X105/Trendy!S14*$C36)</f>
        <v>3.2052321021294232E-2</v>
      </c>
      <c r="T36" s="296">
        <f>IF(Trendy!T14=0,"---",Výkazy!Y105/Trendy!T14*$C36)</f>
        <v>6.6071006119797451E-2</v>
      </c>
      <c r="U36" s="296">
        <f>IF(Trendy!U14=0,"---",Výkazy!Z105/Trendy!U14*$C36)</f>
        <v>8.7280214432884293E-2</v>
      </c>
    </row>
    <row r="37" spans="2:21" x14ac:dyDescent="0.2">
      <c r="B37" s="304" t="s">
        <v>153</v>
      </c>
      <c r="C37" s="305"/>
      <c r="D37" s="306">
        <f t="shared" ref="D37:I37" si="18">SUM(D33:D36)</f>
        <v>1.0210691725965255</v>
      </c>
      <c r="E37" s="306">
        <f t="shared" si="18"/>
        <v>1.7362183115489724</v>
      </c>
      <c r="F37" s="306">
        <f t="shared" si="18"/>
        <v>1.6682958937805161</v>
      </c>
      <c r="G37" s="306">
        <f t="shared" si="18"/>
        <v>1.2227580069310993</v>
      </c>
      <c r="H37" s="306">
        <f t="shared" si="18"/>
        <v>2.0788569350788646</v>
      </c>
      <c r="I37" s="306">
        <f t="shared" si="18"/>
        <v>1.3732031019475193</v>
      </c>
      <c r="J37" s="307">
        <f t="shared" ref="J37:K37" si="19">SUM(J33:J36)</f>
        <v>1.5941506128137468</v>
      </c>
      <c r="K37" s="306">
        <f t="shared" si="19"/>
        <v>1.5862514818128286</v>
      </c>
      <c r="L37" s="306">
        <f t="shared" ref="L37:M37" si="20">SUM(L33:L36)</f>
        <v>1.3828105606054764</v>
      </c>
      <c r="M37" s="306">
        <f t="shared" si="20"/>
        <v>0.84301569569418933</v>
      </c>
      <c r="N37" s="306">
        <f t="shared" ref="N37:Q37" si="21">SUM(N33:N36)</f>
        <v>0.78997308223425378</v>
      </c>
      <c r="O37" s="306">
        <f t="shared" si="21"/>
        <v>1.0016178514600262</v>
      </c>
      <c r="P37" s="306">
        <f t="shared" si="21"/>
        <v>1.3071477412177495</v>
      </c>
      <c r="Q37" s="339">
        <f t="shared" si="21"/>
        <v>0.68149111889259961</v>
      </c>
      <c r="R37" s="339">
        <f t="shared" ref="R37:S37" si="22">SUM(R33:R36)</f>
        <v>0.4488968603873813</v>
      </c>
      <c r="S37" s="339">
        <f t="shared" si="22"/>
        <v>0.48526905581477292</v>
      </c>
      <c r="T37" s="339">
        <f t="shared" ref="T37:U37" si="23">SUM(T33:T36)</f>
        <v>0.67464140117390414</v>
      </c>
      <c r="U37" s="339">
        <f t="shared" si="23"/>
        <v>0.81471980839536917</v>
      </c>
    </row>
    <row r="38" spans="2:21" x14ac:dyDescent="0.2">
      <c r="B38" s="273" t="s">
        <v>596</v>
      </c>
      <c r="C38" s="302"/>
      <c r="D38" s="273"/>
      <c r="E38" s="273"/>
      <c r="F38" s="273"/>
      <c r="G38" s="273"/>
      <c r="H38" s="273"/>
      <c r="I38" s="273"/>
      <c r="J38" s="273"/>
      <c r="K38" s="273"/>
      <c r="L38" s="273"/>
      <c r="M38" s="273"/>
      <c r="N38" s="273"/>
      <c r="O38" s="273"/>
      <c r="P38" s="273"/>
      <c r="Q38" s="273"/>
      <c r="R38" s="273"/>
      <c r="S38" s="273"/>
      <c r="T38" s="273"/>
      <c r="U38" s="273"/>
    </row>
    <row r="39" spans="2:21" x14ac:dyDescent="0.2">
      <c r="B39" s="310" t="s">
        <v>574</v>
      </c>
      <c r="C39" s="302"/>
      <c r="D39" s="273"/>
      <c r="E39" s="273"/>
      <c r="F39" s="273"/>
      <c r="G39" s="273"/>
      <c r="H39" s="273"/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  <c r="U39" s="273"/>
    </row>
    <row r="41" spans="2:21" x14ac:dyDescent="0.2">
      <c r="B41" s="8" t="s">
        <v>300</v>
      </c>
      <c r="D41" s="147">
        <f>Výkazy!I$3</f>
        <v>2007</v>
      </c>
      <c r="E41" s="147">
        <f>Výkazy!J$3</f>
        <v>2008</v>
      </c>
      <c r="F41" s="147">
        <f>Výkazy!K$3</f>
        <v>2009</v>
      </c>
      <c r="G41" s="147">
        <f>Výkazy!L$3</f>
        <v>2010</v>
      </c>
      <c r="H41" s="147">
        <f>Výkazy!M$3</f>
        <v>2011</v>
      </c>
      <c r="I41" s="147">
        <f>Výkazy!N$3</f>
        <v>2012</v>
      </c>
      <c r="J41" s="147">
        <f>Výkazy!O$3</f>
        <v>2013</v>
      </c>
      <c r="K41" s="147">
        <f>Výkazy!P$3</f>
        <v>2014</v>
      </c>
      <c r="L41" s="147">
        <f>Výkazy!Q$3</f>
        <v>2015</v>
      </c>
      <c r="M41" s="147">
        <f>Výkazy!R$3</f>
        <v>2016</v>
      </c>
      <c r="N41" s="147">
        <f>Výkazy!S$3</f>
        <v>2017</v>
      </c>
      <c r="O41" s="147">
        <f>Výkazy!T$3</f>
        <v>2018</v>
      </c>
      <c r="P41" s="147">
        <f>Výkazy!U$3</f>
        <v>2019</v>
      </c>
      <c r="Q41" s="147">
        <f>Výkazy!V$3</f>
        <v>2020</v>
      </c>
      <c r="R41" s="147">
        <f>Výkazy!W$3</f>
        <v>2021</v>
      </c>
      <c r="S41" s="147">
        <f>Výkazy!X$3</f>
        <v>2022</v>
      </c>
      <c r="T41" s="147">
        <f>Výkazy!Y$3</f>
        <v>2023</v>
      </c>
      <c r="U41" s="147">
        <f>Výkazy!Z$3</f>
        <v>2024</v>
      </c>
    </row>
    <row r="42" spans="2:21" x14ac:dyDescent="0.2">
      <c r="B42" s="355" t="s">
        <v>301</v>
      </c>
      <c r="C42" s="356"/>
      <c r="D42" s="148">
        <f t="shared" ref="D42:I42" si="24">D10</f>
        <v>0.3279207992935006</v>
      </c>
      <c r="E42" s="148">
        <f t="shared" si="24"/>
        <v>2.5730889988274273</v>
      </c>
      <c r="F42" s="148">
        <f t="shared" si="24"/>
        <v>2.2441912864603988</v>
      </c>
      <c r="G42" s="148">
        <f t="shared" si="24"/>
        <v>0.52379250694699864</v>
      </c>
      <c r="H42" s="148">
        <f t="shared" si="24"/>
        <v>2.1245076071280788</v>
      </c>
      <c r="I42" s="148">
        <f t="shared" si="24"/>
        <v>0.99259546095115536</v>
      </c>
      <c r="J42" s="148">
        <f t="shared" ref="J42:K42" si="25">J10</f>
        <v>1.998413556821653</v>
      </c>
      <c r="K42" s="148">
        <f t="shared" si="25"/>
        <v>2.1611779732218368</v>
      </c>
      <c r="L42" s="148">
        <f t="shared" ref="L42:M42" si="26">L10</f>
        <v>2.1586294350478634</v>
      </c>
      <c r="M42" s="148">
        <f t="shared" si="26"/>
        <v>1.0735980687366038</v>
      </c>
      <c r="N42" s="148">
        <f t="shared" ref="N42:Q42" si="27">N10</f>
        <v>1.3051466522286272</v>
      </c>
      <c r="O42" s="148">
        <f t="shared" si="27"/>
        <v>1.0207173820807343</v>
      </c>
      <c r="P42" s="148">
        <f t="shared" si="27"/>
        <v>2.7375743141678344</v>
      </c>
      <c r="Q42" s="148">
        <f t="shared" si="27"/>
        <v>1.9927979925453316</v>
      </c>
      <c r="R42" s="148">
        <f t="shared" ref="R42:S42" si="28">R10</f>
        <v>0.53272083065024456</v>
      </c>
      <c r="S42" s="148">
        <f t="shared" si="28"/>
        <v>0.54540570328805915</v>
      </c>
      <c r="T42" s="148">
        <f t="shared" ref="T42:U42" si="29">T10</f>
        <v>1.2044091491486595</v>
      </c>
      <c r="U42" s="148">
        <f t="shared" si="29"/>
        <v>2.0972513426167874</v>
      </c>
    </row>
    <row r="43" spans="2:21" x14ac:dyDescent="0.2">
      <c r="B43" s="355" t="s">
        <v>302</v>
      </c>
      <c r="C43" s="356"/>
      <c r="D43" s="148">
        <f t="shared" ref="D43:I43" si="30">D19</f>
        <v>2.2431878889411849</v>
      </c>
      <c r="E43" s="148">
        <f t="shared" si="30"/>
        <v>3.6863942740334283</v>
      </c>
      <c r="F43" s="148">
        <f t="shared" si="30"/>
        <v>3.8141413927714276</v>
      </c>
      <c r="G43" s="148">
        <f t="shared" si="30"/>
        <v>3.2654615895039401</v>
      </c>
      <c r="H43" s="148">
        <f t="shared" si="30"/>
        <v>5.1642467694412142</v>
      </c>
      <c r="I43" s="148">
        <f t="shared" si="30"/>
        <v>4.0096461575979454</v>
      </c>
      <c r="J43" s="148">
        <f t="shared" ref="J43:K43" si="31">J19</f>
        <v>4.8081840083220566</v>
      </c>
      <c r="K43" s="148">
        <f t="shared" si="31"/>
        <v>5.2782616534472115</v>
      </c>
      <c r="L43" s="148">
        <f t="shared" ref="L43:M43" si="32">L19</f>
        <v>4.9334994568414157</v>
      </c>
      <c r="M43" s="148">
        <f t="shared" si="32"/>
        <v>4.0429695351184405</v>
      </c>
      <c r="N43" s="148">
        <f t="shared" ref="N43:Q43" si="33">N19</f>
        <v>4.2767842526300699</v>
      </c>
      <c r="O43" s="148">
        <f t="shared" si="33"/>
        <v>5.3862961306269614</v>
      </c>
      <c r="P43" s="148">
        <f t="shared" si="33"/>
        <v>7.8516359469299086</v>
      </c>
      <c r="Q43" s="148">
        <f t="shared" si="33"/>
        <v>7.1428417370370267</v>
      </c>
      <c r="R43" s="148">
        <f t="shared" ref="R43:S43" si="34">R19</f>
        <v>2.6602171685566289</v>
      </c>
      <c r="S43" s="148">
        <f t="shared" si="34"/>
        <v>2.6665043840719171</v>
      </c>
      <c r="T43" s="148">
        <f t="shared" ref="T43:U43" si="35">T19</f>
        <v>4.0053999788693844</v>
      </c>
      <c r="U43" s="148">
        <f t="shared" si="35"/>
        <v>3.5228293141565743</v>
      </c>
    </row>
    <row r="44" spans="2:21" x14ac:dyDescent="0.2">
      <c r="B44" s="355" t="s">
        <v>259</v>
      </c>
      <c r="C44" s="356"/>
      <c r="D44" s="148">
        <f t="shared" ref="D44:I44" si="36">D29</f>
        <v>1.570148037492453</v>
      </c>
      <c r="E44" s="148">
        <f t="shared" si="36"/>
        <v>1393.7373003992059</v>
      </c>
      <c r="F44" s="148">
        <f t="shared" si="36"/>
        <v>17.309200635542709</v>
      </c>
      <c r="G44" s="148">
        <f t="shared" si="36"/>
        <v>2.8639982637815802</v>
      </c>
      <c r="H44" s="148">
        <f t="shared" si="36"/>
        <v>15.329122906598663</v>
      </c>
      <c r="I44" s="148">
        <f t="shared" si="36"/>
        <v>2.8144757421918034</v>
      </c>
      <c r="J44" s="148">
        <f t="shared" ref="J44:K44" si="37">J29</f>
        <v>5.9009106829109239</v>
      </c>
      <c r="K44" s="148">
        <f t="shared" si="37"/>
        <v>7.6768104989999202</v>
      </c>
      <c r="L44" s="148">
        <f t="shared" ref="L44:M44" si="38">L29</f>
        <v>6.5709560085978644</v>
      </c>
      <c r="M44" s="148">
        <f t="shared" si="38"/>
        <v>3.1847868208924757</v>
      </c>
      <c r="N44" s="148">
        <f t="shared" ref="N44:Q44" si="39">N29</f>
        <v>2.4774035848662641</v>
      </c>
      <c r="O44" s="148">
        <f t="shared" si="39"/>
        <v>5.9157917519830665</v>
      </c>
      <c r="P44" s="148">
        <f t="shared" si="39"/>
        <v>8.4344963169713143</v>
      </c>
      <c r="Q44" s="148">
        <f t="shared" si="39"/>
        <v>2.9363678796282313</v>
      </c>
      <c r="R44" s="148">
        <f t="shared" ref="R44:S44" si="40">R29</f>
        <v>1.2605998547397927</v>
      </c>
      <c r="S44" s="148">
        <f t="shared" si="40"/>
        <v>1.2817355841966027</v>
      </c>
      <c r="T44" s="148">
        <f t="shared" ref="T44:U44" si="41">T29</f>
        <v>2.3150776966545799</v>
      </c>
      <c r="U44" s="148">
        <f t="shared" si="41"/>
        <v>4.7589146608466066</v>
      </c>
    </row>
    <row r="45" spans="2:21" x14ac:dyDescent="0.2">
      <c r="B45" s="355" t="s">
        <v>268</v>
      </c>
      <c r="C45" s="356"/>
      <c r="D45" s="148">
        <f t="shared" ref="D45:I45" si="42">D37</f>
        <v>1.0210691725965255</v>
      </c>
      <c r="E45" s="148">
        <f t="shared" si="42"/>
        <v>1.7362183115489724</v>
      </c>
      <c r="F45" s="148">
        <f t="shared" si="42"/>
        <v>1.6682958937805161</v>
      </c>
      <c r="G45" s="148">
        <f t="shared" si="42"/>
        <v>1.2227580069310993</v>
      </c>
      <c r="H45" s="148">
        <f t="shared" si="42"/>
        <v>2.0788569350788646</v>
      </c>
      <c r="I45" s="148">
        <f t="shared" si="42"/>
        <v>1.3732031019475193</v>
      </c>
      <c r="J45" s="148">
        <f t="shared" ref="J45:K45" si="43">J37</f>
        <v>1.5941506128137468</v>
      </c>
      <c r="K45" s="148">
        <f t="shared" si="43"/>
        <v>1.5862514818128286</v>
      </c>
      <c r="L45" s="148">
        <f t="shared" ref="L45:M45" si="44">L37</f>
        <v>1.3828105606054764</v>
      </c>
      <c r="M45" s="148">
        <f t="shared" si="44"/>
        <v>0.84301569569418933</v>
      </c>
      <c r="N45" s="148">
        <f t="shared" ref="N45:Q45" si="45">N37</f>
        <v>0.78997308223425378</v>
      </c>
      <c r="O45" s="148">
        <f t="shared" si="45"/>
        <v>1.0016178514600262</v>
      </c>
      <c r="P45" s="148">
        <f t="shared" si="45"/>
        <v>1.3071477412177495</v>
      </c>
      <c r="Q45" s="148">
        <f t="shared" si="45"/>
        <v>0.68149111889259961</v>
      </c>
      <c r="R45" s="148">
        <f t="shared" ref="R45:S45" si="46">R37</f>
        <v>0.4488968603873813</v>
      </c>
      <c r="S45" s="148">
        <f t="shared" si="46"/>
        <v>0.48526905581477292</v>
      </c>
      <c r="T45" s="148">
        <f t="shared" ref="T45:U45" si="47">T37</f>
        <v>0.67464140117390414</v>
      </c>
      <c r="U45" s="148">
        <f t="shared" si="47"/>
        <v>0.81471980839536917</v>
      </c>
    </row>
  </sheetData>
  <mergeCells count="4">
    <mergeCell ref="B42:C42"/>
    <mergeCell ref="B43:C43"/>
    <mergeCell ref="B44:C44"/>
    <mergeCell ref="B45:C45"/>
  </mergeCells>
  <phoneticPr fontId="0" type="noConversion"/>
  <printOptions gridLinesSet="0"/>
  <pageMargins left="0.59055118110236227" right="0" top="0.39370078740157483" bottom="0.39370078740157483" header="0.51181102362204722" footer="0.31496062992125984"/>
  <pageSetup paperSize="9" orientation="portrait" horizontalDpi="300" verticalDpi="300" r:id="rId1"/>
  <headerFooter alignWithMargins="0">
    <oddFooter>&amp;C&amp;F / 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Vykazy HELIOS</vt:lpstr>
      <vt:lpstr>Výkazy</vt:lpstr>
      <vt:lpstr>Trendy</vt:lpstr>
      <vt:lpstr>Ziskovost a náklady</vt:lpstr>
      <vt:lpstr>Rentabilita</vt:lpstr>
      <vt:lpstr>Likvidita</vt:lpstr>
      <vt:lpstr>Doplňkové ukazatele</vt:lpstr>
      <vt:lpstr>Cash flow</vt:lpstr>
      <vt:lpstr>Indexy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Finanční analýza AG TRANSPORT</dc:title>
  <dc:creator>Tomáš Kepič</dc:creator>
  <cp:lastModifiedBy>Kepič Tomáš | AG TRANSPORT, s.r.o.</cp:lastModifiedBy>
  <cp:lastPrinted>2016-03-14T11:40:48Z</cp:lastPrinted>
  <dcterms:created xsi:type="dcterms:W3CDTF">2003-04-11T08:39:42Z</dcterms:created>
  <dcterms:modified xsi:type="dcterms:W3CDTF">2024-11-11T09:33:25Z</dcterms:modified>
</cp:coreProperties>
</file>